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1 Licitaciones\03 LICITACIONES 2020\05 LA-923055981-E5-2020\02 BASES DE LIC BASES SEG LA-923055981-E5-2020\"/>
    </mc:Choice>
  </mc:AlternateContent>
  <bookViews>
    <workbookView xWindow="0" yWindow="0" windowWidth="21600" windowHeight="9645"/>
  </bookViews>
  <sheets>
    <sheet name="CATALOGO P. SOLAR" sheetId="1" r:id="rId1"/>
    <sheet name="BANCO DE DUCTOS BT-MT" sheetId="2" state="hidden" r:id="rId2"/>
    <sheet name="REGISTROS " sheetId="3" state="hidden" r:id="rId3"/>
    <sheet name="EMPALME EN MT " sheetId="4" state="hidden" r:id="rId4"/>
    <sheet name="MOD. FOTOVOLTAICOS " sheetId="6" state="hidden" r:id="rId5"/>
    <sheet name="TAB. DE NIVEL 1 " sheetId="7" state="hidden" r:id="rId6"/>
    <sheet name="MOTORES Y ALIMENTACION TAB N1" sheetId="8" state="hidden" r:id="rId7"/>
    <sheet name="PUESTA A TIERRA " sheetId="9" state="hidden" r:id="rId8"/>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0" i="2" l="1"/>
  <c r="E40" i="2"/>
  <c r="F40" i="2"/>
  <c r="G40" i="2"/>
  <c r="H40" i="2"/>
  <c r="C40" i="2"/>
  <c r="D25" i="9" l="1"/>
  <c r="D15" i="9"/>
  <c r="D17" i="9"/>
  <c r="D11" i="9"/>
  <c r="D9" i="9"/>
  <c r="D7" i="9"/>
  <c r="D5" i="9"/>
  <c r="D4" i="9"/>
  <c r="AQ152" i="4" l="1"/>
  <c r="AQ151" i="4"/>
  <c r="AQ150" i="4"/>
  <c r="AQ149" i="4"/>
  <c r="AQ148" i="4"/>
  <c r="AQ147" i="4"/>
  <c r="AQ146" i="4"/>
  <c r="AQ145" i="4"/>
  <c r="AQ144" i="4"/>
  <c r="AQ143" i="4"/>
  <c r="AQ142" i="4"/>
  <c r="AQ141" i="4"/>
  <c r="AQ140" i="4"/>
  <c r="AQ139" i="4"/>
  <c r="AQ138" i="4"/>
  <c r="AQ137" i="4"/>
  <c r="AQ136" i="4"/>
  <c r="AQ135" i="4"/>
  <c r="AQ134" i="4"/>
  <c r="AQ133" i="4"/>
  <c r="AQ132" i="4"/>
  <c r="AQ131" i="4"/>
  <c r="AQ130" i="4"/>
  <c r="AQ129" i="4"/>
  <c r="AQ128" i="4"/>
  <c r="AQ127" i="4"/>
  <c r="AQ126" i="4"/>
  <c r="AQ125" i="4"/>
  <c r="AQ124" i="4"/>
  <c r="AQ123" i="4"/>
  <c r="AQ122" i="4"/>
  <c r="AQ121" i="4"/>
  <c r="AQ120" i="4"/>
  <c r="AQ119" i="4"/>
  <c r="AQ118" i="4"/>
  <c r="AQ117" i="4"/>
  <c r="AQ116" i="4"/>
  <c r="AQ115" i="4"/>
  <c r="AQ114" i="4"/>
  <c r="AQ113" i="4"/>
  <c r="AQ112" i="4"/>
  <c r="AQ111" i="4"/>
  <c r="AQ110" i="4"/>
  <c r="AQ109" i="4"/>
  <c r="AQ108" i="4"/>
  <c r="AQ107" i="4"/>
  <c r="AQ106" i="4"/>
  <c r="AQ105" i="4"/>
  <c r="AQ104" i="4"/>
  <c r="AQ103" i="4"/>
  <c r="AQ102" i="4"/>
  <c r="AQ101" i="4"/>
  <c r="AQ100" i="4"/>
  <c r="AQ99" i="4"/>
  <c r="AQ98" i="4"/>
  <c r="AQ97" i="4"/>
  <c r="AQ96" i="4"/>
  <c r="AQ95" i="4"/>
  <c r="AQ94" i="4"/>
  <c r="AQ93" i="4"/>
  <c r="AQ92" i="4"/>
  <c r="AQ91" i="4"/>
  <c r="AQ90" i="4"/>
  <c r="AQ89" i="4"/>
  <c r="AQ88" i="4"/>
  <c r="AQ87" i="4"/>
  <c r="AQ86" i="4"/>
  <c r="AQ85" i="4"/>
  <c r="AQ84" i="4"/>
  <c r="AQ83" i="4"/>
  <c r="AQ82" i="4"/>
  <c r="AQ81" i="4"/>
  <c r="AQ80" i="4"/>
  <c r="AQ79" i="4"/>
  <c r="AQ78" i="4"/>
  <c r="AQ77" i="4"/>
  <c r="AQ76" i="4"/>
  <c r="AQ75" i="4"/>
  <c r="AQ74" i="4"/>
  <c r="AQ73" i="4"/>
  <c r="AQ72" i="4"/>
  <c r="AQ71" i="4"/>
  <c r="AQ70" i="4"/>
  <c r="AQ69" i="4"/>
  <c r="AQ68" i="4"/>
  <c r="AQ67" i="4"/>
  <c r="AQ66" i="4"/>
  <c r="AQ65" i="4"/>
  <c r="AQ64" i="4"/>
  <c r="AQ63" i="4"/>
  <c r="AQ62" i="4"/>
  <c r="AQ61" i="4"/>
  <c r="AQ60" i="4"/>
  <c r="AQ59" i="4"/>
  <c r="AQ58" i="4"/>
  <c r="AQ57" i="4"/>
  <c r="AQ56" i="4"/>
  <c r="AQ55" i="4"/>
  <c r="AQ54" i="4"/>
  <c r="AQ53" i="4"/>
  <c r="AQ52" i="4"/>
  <c r="AQ51" i="4"/>
  <c r="AQ50" i="4"/>
  <c r="AQ49" i="4"/>
  <c r="AP48" i="4"/>
  <c r="AO48" i="4"/>
  <c r="AN48" i="4"/>
  <c r="AM48" i="4"/>
  <c r="AL48" i="4"/>
  <c r="AK48" i="4"/>
  <c r="AJ48" i="4"/>
  <c r="AI48" i="4"/>
  <c r="AH48" i="4"/>
  <c r="AG48" i="4"/>
  <c r="AF48" i="4"/>
  <c r="AE48" i="4"/>
  <c r="AD48" i="4"/>
  <c r="AC48" i="4"/>
  <c r="AB48" i="4"/>
  <c r="AA48" i="4"/>
  <c r="Z48" i="4"/>
  <c r="Y48" i="4"/>
  <c r="X48" i="4"/>
  <c r="W48" i="4"/>
  <c r="V48" i="4"/>
  <c r="U48" i="4"/>
  <c r="T48" i="4"/>
  <c r="S48" i="4"/>
  <c r="R48" i="4"/>
  <c r="Q48" i="4"/>
  <c r="P48" i="4"/>
  <c r="O48" i="4"/>
  <c r="N48" i="4"/>
  <c r="M48" i="4"/>
  <c r="L48" i="4"/>
  <c r="K48" i="4"/>
  <c r="J48" i="4"/>
  <c r="I48" i="4"/>
  <c r="H48" i="4"/>
  <c r="G48" i="4"/>
  <c r="E48" i="4"/>
  <c r="AQ47" i="4"/>
  <c r="F46" i="4"/>
  <c r="AQ46" i="4" s="1"/>
  <c r="AQ45" i="4"/>
  <c r="AO44" i="4"/>
  <c r="AN44" i="4"/>
  <c r="AM44" i="4"/>
  <c r="AK44" i="4"/>
  <c r="AJ44" i="4"/>
  <c r="AI44" i="4"/>
  <c r="AH44" i="4"/>
  <c r="AG44" i="4"/>
  <c r="AE44" i="4"/>
  <c r="AD44" i="4"/>
  <c r="AC44" i="4"/>
  <c r="AB44" i="4"/>
  <c r="Z44" i="4"/>
  <c r="Y44" i="4"/>
  <c r="W44" i="4"/>
  <c r="V44" i="4"/>
  <c r="U44" i="4"/>
  <c r="S44" i="4"/>
  <c r="Q44" i="4"/>
  <c r="P44" i="4"/>
  <c r="O44" i="4"/>
  <c r="M44" i="4"/>
  <c r="L44" i="4"/>
  <c r="J44" i="4"/>
  <c r="I44" i="4"/>
  <c r="H44" i="4"/>
  <c r="G44" i="4"/>
  <c r="F44" i="4"/>
  <c r="E44" i="4"/>
  <c r="AP41" i="4"/>
  <c r="AP42" i="4" s="1"/>
  <c r="AP43" i="4" s="1"/>
  <c r="AO41" i="4"/>
  <c r="AO42" i="4" s="1"/>
  <c r="AO43" i="4" s="1"/>
  <c r="AN41" i="4"/>
  <c r="AN42" i="4" s="1"/>
  <c r="AN43" i="4" s="1"/>
  <c r="AM41" i="4"/>
  <c r="AM42" i="4" s="1"/>
  <c r="AM43" i="4" s="1"/>
  <c r="AL41" i="4"/>
  <c r="AL42" i="4" s="1"/>
  <c r="AL43" i="4" s="1"/>
  <c r="AK41" i="4"/>
  <c r="AK42" i="4" s="1"/>
  <c r="AK43" i="4" s="1"/>
  <c r="AJ41" i="4"/>
  <c r="AJ42" i="4" s="1"/>
  <c r="AJ43" i="4" s="1"/>
  <c r="AI41" i="4"/>
  <c r="AI42" i="4" s="1"/>
  <c r="AI43" i="4" s="1"/>
  <c r="AH41" i="4"/>
  <c r="AH42" i="4" s="1"/>
  <c r="AH43" i="4" s="1"/>
  <c r="AG41" i="4"/>
  <c r="AG42" i="4" s="1"/>
  <c r="AG43" i="4" s="1"/>
  <c r="AF41" i="4"/>
  <c r="AF42" i="4" s="1"/>
  <c r="AF43" i="4" s="1"/>
  <c r="AE41" i="4"/>
  <c r="AE42" i="4" s="1"/>
  <c r="AE43" i="4" s="1"/>
  <c r="AD41" i="4"/>
  <c r="AD42" i="4" s="1"/>
  <c r="AD43" i="4" s="1"/>
  <c r="AC41" i="4"/>
  <c r="AC42" i="4" s="1"/>
  <c r="AC43" i="4" s="1"/>
  <c r="AB41" i="4"/>
  <c r="AB42" i="4" s="1"/>
  <c r="AB43" i="4" s="1"/>
  <c r="AA41" i="4"/>
  <c r="AA42" i="4" s="1"/>
  <c r="AA43" i="4" s="1"/>
  <c r="Z41" i="4"/>
  <c r="Z42" i="4" s="1"/>
  <c r="Z43" i="4" s="1"/>
  <c r="Y41" i="4"/>
  <c r="Y42" i="4" s="1"/>
  <c r="Y43" i="4" s="1"/>
  <c r="X41" i="4"/>
  <c r="X42" i="4" s="1"/>
  <c r="X43" i="4" s="1"/>
  <c r="W41" i="4"/>
  <c r="W42" i="4" s="1"/>
  <c r="W43" i="4" s="1"/>
  <c r="V41" i="4"/>
  <c r="V42" i="4" s="1"/>
  <c r="V43" i="4" s="1"/>
  <c r="U41" i="4"/>
  <c r="U42" i="4" s="1"/>
  <c r="U43" i="4" s="1"/>
  <c r="T41" i="4"/>
  <c r="T42" i="4" s="1"/>
  <c r="T43" i="4" s="1"/>
  <c r="S41" i="4"/>
  <c r="S42" i="4" s="1"/>
  <c r="S43" i="4" s="1"/>
  <c r="R41" i="4"/>
  <c r="R42" i="4" s="1"/>
  <c r="R43" i="4" s="1"/>
  <c r="Q41" i="4"/>
  <c r="Q42" i="4" s="1"/>
  <c r="Q43" i="4" s="1"/>
  <c r="P41" i="4"/>
  <c r="P42" i="4" s="1"/>
  <c r="P43" i="4" s="1"/>
  <c r="O41" i="4"/>
  <c r="O42" i="4" s="1"/>
  <c r="O43" i="4" s="1"/>
  <c r="N41" i="4"/>
  <c r="N42" i="4" s="1"/>
  <c r="N43" i="4" s="1"/>
  <c r="M41" i="4"/>
  <c r="M42" i="4" s="1"/>
  <c r="M43" i="4" s="1"/>
  <c r="L41" i="4"/>
  <c r="L42" i="4" s="1"/>
  <c r="L43" i="4" s="1"/>
  <c r="K41" i="4"/>
  <c r="K42" i="4" s="1"/>
  <c r="K43" i="4" s="1"/>
  <c r="J41" i="4"/>
  <c r="J42" i="4" s="1"/>
  <c r="J43" i="4" s="1"/>
  <c r="I41" i="4"/>
  <c r="I42" i="4" s="1"/>
  <c r="I43" i="4" s="1"/>
  <c r="H41" i="4"/>
  <c r="H42" i="4" s="1"/>
  <c r="H43" i="4" s="1"/>
  <c r="G41" i="4"/>
  <c r="G42" i="4" s="1"/>
  <c r="G43" i="4" s="1"/>
  <c r="F41" i="4"/>
  <c r="F42" i="4" s="1"/>
  <c r="F43" i="4" s="1"/>
  <c r="E41" i="4"/>
  <c r="AQ40" i="4"/>
  <c r="AP39" i="4"/>
  <c r="AL39" i="4"/>
  <c r="AF39" i="4"/>
  <c r="AA39" i="4"/>
  <c r="X39" i="4"/>
  <c r="T39" i="4"/>
  <c r="R39" i="4"/>
  <c r="K39" i="4"/>
  <c r="F39" i="4"/>
  <c r="AQ38" i="4"/>
  <c r="AP37" i="4"/>
  <c r="AL37" i="4"/>
  <c r="AF37" i="4"/>
  <c r="AD37" i="4"/>
  <c r="AA37" i="4"/>
  <c r="Z37" i="4"/>
  <c r="X37" i="4"/>
  <c r="T37" i="4"/>
  <c r="R37" i="4"/>
  <c r="O37" i="4"/>
  <c r="N37" i="4"/>
  <c r="M37" i="4"/>
  <c r="K37" i="4"/>
  <c r="I37" i="4"/>
  <c r="F37" i="4"/>
  <c r="AP36" i="4"/>
  <c r="AL36" i="4"/>
  <c r="AF36" i="4"/>
  <c r="AD36" i="4"/>
  <c r="AA36" i="4"/>
  <c r="Z36" i="4"/>
  <c r="X36" i="4"/>
  <c r="T36" i="4"/>
  <c r="R36" i="4"/>
  <c r="O36" i="4"/>
  <c r="N36" i="4"/>
  <c r="M36" i="4"/>
  <c r="K36" i="4"/>
  <c r="I36" i="4"/>
  <c r="F36" i="4"/>
  <c r="AD35" i="4"/>
  <c r="Z35" i="4"/>
  <c r="O35" i="4"/>
  <c r="N35" i="4"/>
  <c r="M35" i="4"/>
  <c r="I35" i="4"/>
  <c r="AP34" i="4"/>
  <c r="AL34" i="4"/>
  <c r="AF34" i="4"/>
  <c r="AD34" i="4"/>
  <c r="AA34" i="4"/>
  <c r="Z34" i="4"/>
  <c r="X34" i="4"/>
  <c r="T34" i="4"/>
  <c r="R34" i="4"/>
  <c r="O34" i="4"/>
  <c r="N34" i="4"/>
  <c r="M34" i="4"/>
  <c r="K34" i="4"/>
  <c r="I34" i="4"/>
  <c r="F34" i="4"/>
  <c r="AP33" i="4"/>
  <c r="AL33" i="4"/>
  <c r="AF33" i="4"/>
  <c r="AD33" i="4"/>
  <c r="AA33" i="4"/>
  <c r="Z33" i="4"/>
  <c r="X33" i="4"/>
  <c r="T33" i="4"/>
  <c r="R33" i="4"/>
  <c r="O33" i="4"/>
  <c r="N33" i="4"/>
  <c r="M33" i="4"/>
  <c r="K33" i="4"/>
  <c r="I33" i="4"/>
  <c r="F33" i="4"/>
  <c r="AQ32" i="4"/>
  <c r="AP31" i="4"/>
  <c r="AL31" i="4"/>
  <c r="AF31" i="4"/>
  <c r="AA31" i="4"/>
  <c r="X31" i="4"/>
  <c r="T31" i="4"/>
  <c r="R31" i="4"/>
  <c r="K31" i="4"/>
  <c r="F31" i="4"/>
  <c r="AP30" i="4"/>
  <c r="AL30" i="4"/>
  <c r="AF30" i="4"/>
  <c r="AA30" i="4"/>
  <c r="X30" i="4"/>
  <c r="T30" i="4"/>
  <c r="R30" i="4"/>
  <c r="N30" i="4"/>
  <c r="M30" i="4"/>
  <c r="M31" i="4" s="1"/>
  <c r="K30" i="4"/>
  <c r="I30" i="4"/>
  <c r="I31" i="4" s="1"/>
  <c r="F30" i="4"/>
  <c r="AP29" i="4"/>
  <c r="AL29" i="4"/>
  <c r="AF29" i="4"/>
  <c r="AA29" i="4"/>
  <c r="X29" i="4"/>
  <c r="T29" i="4"/>
  <c r="R29" i="4"/>
  <c r="N29" i="4"/>
  <c r="M29" i="4"/>
  <c r="K29" i="4"/>
  <c r="I29" i="4"/>
  <c r="F29" i="4"/>
  <c r="AQ28" i="4"/>
  <c r="AQ27" i="4"/>
  <c r="AQ26" i="4"/>
  <c r="AQ25" i="4"/>
  <c r="AQ24" i="4"/>
  <c r="AQ23" i="4"/>
  <c r="AQ22" i="4"/>
  <c r="AQ21" i="4"/>
  <c r="AQ19" i="4"/>
  <c r="E17" i="4"/>
  <c r="E20" i="4" s="1"/>
  <c r="AD16" i="4"/>
  <c r="AD18" i="4" s="1"/>
  <c r="AD20" i="4" s="1"/>
  <c r="I16" i="4"/>
  <c r="AQ15" i="4"/>
  <c r="AQ14" i="4"/>
  <c r="F8" i="4"/>
  <c r="G13" i="3"/>
  <c r="F13" i="3"/>
  <c r="E13" i="3"/>
  <c r="D13" i="3"/>
  <c r="C13" i="3"/>
  <c r="G10" i="3"/>
  <c r="F10" i="3"/>
  <c r="E10" i="3"/>
  <c r="D10" i="3"/>
  <c r="C10" i="3"/>
  <c r="G9" i="3"/>
  <c r="F9" i="3"/>
  <c r="E9" i="3"/>
  <c r="D9" i="3"/>
  <c r="C9" i="3"/>
  <c r="I8" i="3"/>
  <c r="J8" i="3" s="1"/>
  <c r="H8" i="3"/>
  <c r="I131" i="2"/>
  <c r="J131" i="2" s="1"/>
  <c r="H130" i="2"/>
  <c r="G130" i="2"/>
  <c r="F130" i="2"/>
  <c r="E130" i="2"/>
  <c r="D130" i="2"/>
  <c r="C130" i="2"/>
  <c r="H129" i="2"/>
  <c r="G129" i="2"/>
  <c r="F129" i="2"/>
  <c r="E129" i="2"/>
  <c r="D129" i="2"/>
  <c r="C129" i="2"/>
  <c r="H128" i="2"/>
  <c r="G128" i="2"/>
  <c r="F128" i="2"/>
  <c r="E128" i="2"/>
  <c r="D128" i="2"/>
  <c r="C128" i="2"/>
  <c r="H127" i="2"/>
  <c r="G127" i="2"/>
  <c r="F127" i="2"/>
  <c r="E127" i="2"/>
  <c r="D127" i="2"/>
  <c r="C127" i="2"/>
  <c r="H126" i="2"/>
  <c r="I126" i="2" s="1"/>
  <c r="J126" i="2" s="1"/>
  <c r="H124" i="2"/>
  <c r="I124" i="2" s="1"/>
  <c r="J124" i="2" s="1"/>
  <c r="G122" i="2"/>
  <c r="F122" i="2"/>
  <c r="E122" i="2"/>
  <c r="D122" i="2"/>
  <c r="I122" i="2" s="1"/>
  <c r="J122" i="2" s="1"/>
  <c r="G121" i="2"/>
  <c r="F121" i="2"/>
  <c r="E121" i="2"/>
  <c r="D121" i="2"/>
  <c r="I121" i="2" s="1"/>
  <c r="J121" i="2" s="1"/>
  <c r="G120" i="2"/>
  <c r="E120" i="2"/>
  <c r="C120" i="2"/>
  <c r="H119" i="2"/>
  <c r="F119" i="2"/>
  <c r="D119" i="2"/>
  <c r="H118" i="2"/>
  <c r="F118" i="2"/>
  <c r="D118" i="2"/>
  <c r="H117" i="2"/>
  <c r="G117" i="2"/>
  <c r="F117" i="2"/>
  <c r="E117" i="2"/>
  <c r="D117" i="2"/>
  <c r="C117" i="2"/>
  <c r="C116" i="2"/>
  <c r="I116" i="2" s="1"/>
  <c r="J116" i="2" s="1"/>
  <c r="H114" i="2"/>
  <c r="G114" i="2"/>
  <c r="F114" i="2"/>
  <c r="E114" i="2"/>
  <c r="D114" i="2"/>
  <c r="C114" i="2"/>
  <c r="H113" i="2"/>
  <c r="G113" i="2"/>
  <c r="F113" i="2"/>
  <c r="E113" i="2"/>
  <c r="D113" i="2"/>
  <c r="C113" i="2"/>
  <c r="H112" i="2"/>
  <c r="G112" i="2"/>
  <c r="F112" i="2"/>
  <c r="E112" i="2"/>
  <c r="D112" i="2"/>
  <c r="C112" i="2"/>
  <c r="H111" i="2"/>
  <c r="G111" i="2"/>
  <c r="G115" i="2" s="1"/>
  <c r="F111" i="2"/>
  <c r="F115" i="2" s="1"/>
  <c r="E111" i="2"/>
  <c r="D111" i="2"/>
  <c r="C111" i="2"/>
  <c r="H110" i="2"/>
  <c r="H125" i="2" s="1"/>
  <c r="I125" i="2" s="1"/>
  <c r="J125" i="2" s="1"/>
  <c r="G110" i="2"/>
  <c r="F110" i="2"/>
  <c r="F123" i="2" s="1"/>
  <c r="E110" i="2"/>
  <c r="E123" i="2" s="1"/>
  <c r="D110" i="2"/>
  <c r="D123" i="2" s="1"/>
  <c r="C110" i="2"/>
  <c r="I109" i="2"/>
  <c r="J109" i="2" s="1"/>
  <c r="R101" i="2"/>
  <c r="Q101" i="2"/>
  <c r="P101" i="2"/>
  <c r="O101" i="2"/>
  <c r="N101" i="2"/>
  <c r="M101" i="2"/>
  <c r="L101" i="2"/>
  <c r="K101" i="2"/>
  <c r="J101" i="2"/>
  <c r="I101" i="2"/>
  <c r="H101" i="2"/>
  <c r="G101" i="2"/>
  <c r="F101" i="2"/>
  <c r="E101" i="2"/>
  <c r="D101" i="2"/>
  <c r="C101" i="2"/>
  <c r="R100" i="2"/>
  <c r="Q100" i="2"/>
  <c r="P100" i="2"/>
  <c r="O100" i="2"/>
  <c r="N100" i="2"/>
  <c r="M100" i="2"/>
  <c r="L100" i="2"/>
  <c r="K100" i="2"/>
  <c r="J100" i="2"/>
  <c r="I100" i="2"/>
  <c r="H100" i="2"/>
  <c r="G100" i="2"/>
  <c r="F100" i="2"/>
  <c r="E100" i="2"/>
  <c r="D100" i="2"/>
  <c r="C100" i="2"/>
  <c r="R99" i="2"/>
  <c r="Q99" i="2"/>
  <c r="P99" i="2"/>
  <c r="O99" i="2"/>
  <c r="N99" i="2"/>
  <c r="M99" i="2"/>
  <c r="L99" i="2"/>
  <c r="K99" i="2"/>
  <c r="J99" i="2"/>
  <c r="I99" i="2"/>
  <c r="H99" i="2"/>
  <c r="G99" i="2"/>
  <c r="F99" i="2"/>
  <c r="E99" i="2"/>
  <c r="D99" i="2"/>
  <c r="C99" i="2"/>
  <c r="R98" i="2"/>
  <c r="Q98" i="2"/>
  <c r="P98" i="2"/>
  <c r="O98" i="2"/>
  <c r="N98" i="2"/>
  <c r="M98" i="2"/>
  <c r="L98" i="2"/>
  <c r="K98" i="2"/>
  <c r="J98" i="2"/>
  <c r="I98" i="2"/>
  <c r="H98" i="2"/>
  <c r="G98" i="2"/>
  <c r="F98" i="2"/>
  <c r="E98" i="2"/>
  <c r="D98" i="2"/>
  <c r="C98" i="2"/>
  <c r="Q97" i="2"/>
  <c r="H97" i="2"/>
  <c r="Q95" i="2"/>
  <c r="H95" i="2"/>
  <c r="R93" i="2"/>
  <c r="P93" i="2"/>
  <c r="O93" i="2"/>
  <c r="N93" i="2"/>
  <c r="M93" i="2"/>
  <c r="L93" i="2"/>
  <c r="K93" i="2"/>
  <c r="J93" i="2"/>
  <c r="I93" i="2"/>
  <c r="G93" i="2"/>
  <c r="F93" i="2"/>
  <c r="E93" i="2"/>
  <c r="D93" i="2"/>
  <c r="C93" i="2"/>
  <c r="R92" i="2"/>
  <c r="P92" i="2"/>
  <c r="O92" i="2"/>
  <c r="N92" i="2"/>
  <c r="M92" i="2"/>
  <c r="L92" i="2"/>
  <c r="K92" i="2"/>
  <c r="J92" i="2"/>
  <c r="I92" i="2"/>
  <c r="G92" i="2"/>
  <c r="F92" i="2"/>
  <c r="E92" i="2"/>
  <c r="D92" i="2"/>
  <c r="C92" i="2"/>
  <c r="R91" i="2"/>
  <c r="S91" i="2" s="1"/>
  <c r="T91" i="2" s="1"/>
  <c r="U91" i="2" s="1"/>
  <c r="O90" i="2"/>
  <c r="M90" i="2"/>
  <c r="K90" i="2"/>
  <c r="J90" i="2"/>
  <c r="I90" i="2"/>
  <c r="H90" i="2"/>
  <c r="G90" i="2"/>
  <c r="F90" i="2"/>
  <c r="E90" i="2"/>
  <c r="D90" i="2"/>
  <c r="P89" i="2"/>
  <c r="O89" i="2"/>
  <c r="N89" i="2"/>
  <c r="M89" i="2"/>
  <c r="L89" i="2"/>
  <c r="K89" i="2"/>
  <c r="R88" i="2"/>
  <c r="Q88" i="2"/>
  <c r="P88" i="2"/>
  <c r="O88" i="2"/>
  <c r="N88" i="2"/>
  <c r="M88" i="2"/>
  <c r="L88" i="2"/>
  <c r="K88" i="2"/>
  <c r="J88" i="2"/>
  <c r="I88" i="2"/>
  <c r="H88" i="2"/>
  <c r="G88" i="2"/>
  <c r="F88" i="2"/>
  <c r="E88" i="2"/>
  <c r="J87" i="2"/>
  <c r="I87" i="2"/>
  <c r="H87" i="2"/>
  <c r="G87" i="2"/>
  <c r="F87" i="2"/>
  <c r="E87" i="2"/>
  <c r="D87" i="2"/>
  <c r="C87" i="2"/>
  <c r="R85" i="2"/>
  <c r="Q85" i="2"/>
  <c r="P85" i="2"/>
  <c r="O85" i="2"/>
  <c r="N85" i="2"/>
  <c r="M85" i="2"/>
  <c r="L85" i="2"/>
  <c r="K85" i="2"/>
  <c r="J85" i="2"/>
  <c r="I85" i="2"/>
  <c r="H85" i="2"/>
  <c r="G85" i="2"/>
  <c r="F85" i="2"/>
  <c r="E85" i="2"/>
  <c r="D85" i="2"/>
  <c r="C85" i="2"/>
  <c r="R84" i="2"/>
  <c r="Q84" i="2"/>
  <c r="P84" i="2"/>
  <c r="O84" i="2"/>
  <c r="N84" i="2"/>
  <c r="M84" i="2"/>
  <c r="L84" i="2"/>
  <c r="K84" i="2"/>
  <c r="J84" i="2"/>
  <c r="I84" i="2"/>
  <c r="H84" i="2"/>
  <c r="G84" i="2"/>
  <c r="F84" i="2"/>
  <c r="E84" i="2"/>
  <c r="D84" i="2"/>
  <c r="C84" i="2"/>
  <c r="R83" i="2"/>
  <c r="Q83" i="2"/>
  <c r="P83" i="2"/>
  <c r="O83" i="2"/>
  <c r="N83" i="2"/>
  <c r="M83" i="2"/>
  <c r="L83" i="2"/>
  <c r="K83" i="2"/>
  <c r="J83" i="2"/>
  <c r="I83" i="2"/>
  <c r="H83" i="2"/>
  <c r="G83" i="2"/>
  <c r="F83" i="2"/>
  <c r="E83" i="2"/>
  <c r="D83" i="2"/>
  <c r="C83" i="2"/>
  <c r="R82" i="2"/>
  <c r="R86" i="2" s="1"/>
  <c r="Q82" i="2"/>
  <c r="Q86" i="2" s="1"/>
  <c r="P82" i="2"/>
  <c r="P86" i="2" s="1"/>
  <c r="O82" i="2"/>
  <c r="O86" i="2" s="1"/>
  <c r="N82" i="2"/>
  <c r="N86" i="2" s="1"/>
  <c r="M82" i="2"/>
  <c r="M86" i="2" s="1"/>
  <c r="L82" i="2"/>
  <c r="L86" i="2" s="1"/>
  <c r="K82" i="2"/>
  <c r="J82" i="2"/>
  <c r="I82" i="2"/>
  <c r="I86" i="2" s="1"/>
  <c r="H82" i="2"/>
  <c r="H86" i="2" s="1"/>
  <c r="G82" i="2"/>
  <c r="G86" i="2" s="1"/>
  <c r="F82" i="2"/>
  <c r="F86" i="2" s="1"/>
  <c r="E82" i="2"/>
  <c r="E86" i="2" s="1"/>
  <c r="D82" i="2"/>
  <c r="D86" i="2" s="1"/>
  <c r="C82" i="2"/>
  <c r="C86" i="2" s="1"/>
  <c r="R81" i="2"/>
  <c r="R94" i="2" s="1"/>
  <c r="Q81" i="2"/>
  <c r="Q96" i="2" s="1"/>
  <c r="P81" i="2"/>
  <c r="P94" i="2" s="1"/>
  <c r="O81" i="2"/>
  <c r="O94" i="2" s="1"/>
  <c r="N81" i="2"/>
  <c r="N94" i="2" s="1"/>
  <c r="M81" i="2"/>
  <c r="M94" i="2" s="1"/>
  <c r="L81" i="2"/>
  <c r="L94" i="2" s="1"/>
  <c r="K81" i="2"/>
  <c r="K94" i="2" s="1"/>
  <c r="J81" i="2"/>
  <c r="J94" i="2" s="1"/>
  <c r="I81" i="2"/>
  <c r="I94" i="2" s="1"/>
  <c r="H81" i="2"/>
  <c r="H96" i="2" s="1"/>
  <c r="G81" i="2"/>
  <c r="F81" i="2"/>
  <c r="F94" i="2" s="1"/>
  <c r="E81" i="2"/>
  <c r="E94" i="2" s="1"/>
  <c r="D81" i="2"/>
  <c r="D94" i="2" s="1"/>
  <c r="C81" i="2"/>
  <c r="C94" i="2" s="1"/>
  <c r="S80" i="2"/>
  <c r="T80" i="2" s="1"/>
  <c r="U80" i="2" s="1"/>
  <c r="I62" i="2"/>
  <c r="J62" i="2" s="1"/>
  <c r="H61" i="2"/>
  <c r="G61" i="2"/>
  <c r="F61" i="2"/>
  <c r="E61" i="2"/>
  <c r="D61" i="2"/>
  <c r="C61" i="2"/>
  <c r="H60" i="2"/>
  <c r="G60" i="2"/>
  <c r="F60" i="2"/>
  <c r="E60" i="2"/>
  <c r="D60" i="2"/>
  <c r="C60" i="2"/>
  <c r="H59" i="2"/>
  <c r="G59" i="2"/>
  <c r="F59" i="2"/>
  <c r="E59" i="2"/>
  <c r="D59" i="2"/>
  <c r="C59" i="2"/>
  <c r="H58" i="2"/>
  <c r="G58" i="2"/>
  <c r="F58" i="2"/>
  <c r="E58" i="2"/>
  <c r="D58" i="2"/>
  <c r="C58" i="2"/>
  <c r="H57" i="2"/>
  <c r="I57" i="2" s="1"/>
  <c r="J57" i="2" s="1"/>
  <c r="H55" i="2"/>
  <c r="I55" i="2" s="1"/>
  <c r="J55" i="2" s="1"/>
  <c r="G53" i="2"/>
  <c r="F53" i="2"/>
  <c r="E53" i="2"/>
  <c r="D53" i="2"/>
  <c r="G52" i="2"/>
  <c r="F52" i="2"/>
  <c r="E52" i="2"/>
  <c r="D52" i="2"/>
  <c r="G51" i="2"/>
  <c r="E51" i="2"/>
  <c r="C51" i="2"/>
  <c r="H50" i="2"/>
  <c r="F50" i="2"/>
  <c r="D50" i="2"/>
  <c r="H49" i="2"/>
  <c r="F49" i="2"/>
  <c r="D49" i="2"/>
  <c r="H48" i="2"/>
  <c r="G48" i="2"/>
  <c r="F48" i="2"/>
  <c r="E48" i="2"/>
  <c r="D48" i="2"/>
  <c r="C48" i="2"/>
  <c r="C47" i="2"/>
  <c r="I47" i="2" s="1"/>
  <c r="J47" i="2" s="1"/>
  <c r="H45" i="2"/>
  <c r="G45" i="2"/>
  <c r="F45" i="2"/>
  <c r="E45" i="2"/>
  <c r="D45" i="2"/>
  <c r="C45" i="2"/>
  <c r="H44" i="2"/>
  <c r="G44" i="2"/>
  <c r="F44" i="2"/>
  <c r="E44" i="2"/>
  <c r="D44" i="2"/>
  <c r="C44" i="2"/>
  <c r="H43" i="2"/>
  <c r="G43" i="2"/>
  <c r="F43" i="2"/>
  <c r="E43" i="2"/>
  <c r="D43" i="2"/>
  <c r="C43" i="2"/>
  <c r="H42" i="2"/>
  <c r="G42" i="2"/>
  <c r="F42" i="2"/>
  <c r="F46" i="2" s="1"/>
  <c r="E42" i="2"/>
  <c r="E46" i="2" s="1"/>
  <c r="D42" i="2"/>
  <c r="C42" i="2"/>
  <c r="C46" i="2" s="1"/>
  <c r="H41" i="2"/>
  <c r="H56" i="2" s="1"/>
  <c r="I56" i="2" s="1"/>
  <c r="J56" i="2" s="1"/>
  <c r="G41" i="2"/>
  <c r="F41" i="2"/>
  <c r="F54" i="2" s="1"/>
  <c r="E41" i="2"/>
  <c r="D41" i="2"/>
  <c r="D54" i="2" s="1"/>
  <c r="C41" i="2"/>
  <c r="I39" i="2"/>
  <c r="J39" i="2" s="1"/>
  <c r="R31" i="2"/>
  <c r="Q31" i="2"/>
  <c r="P31" i="2"/>
  <c r="O31" i="2"/>
  <c r="N31" i="2"/>
  <c r="M31" i="2"/>
  <c r="L31" i="2"/>
  <c r="K31" i="2"/>
  <c r="J31" i="2"/>
  <c r="I31" i="2"/>
  <c r="H31" i="2"/>
  <c r="G31" i="2"/>
  <c r="F31" i="2"/>
  <c r="E31" i="2"/>
  <c r="D31" i="2"/>
  <c r="C31" i="2"/>
  <c r="R30" i="2"/>
  <c r="Q30" i="2"/>
  <c r="P30" i="2"/>
  <c r="O30" i="2"/>
  <c r="N30" i="2"/>
  <c r="M30" i="2"/>
  <c r="L30" i="2"/>
  <c r="K30" i="2"/>
  <c r="J30" i="2"/>
  <c r="I30" i="2"/>
  <c r="H30" i="2"/>
  <c r="G30" i="2"/>
  <c r="F30" i="2"/>
  <c r="E30" i="2"/>
  <c r="D30" i="2"/>
  <c r="C30" i="2"/>
  <c r="R29" i="2"/>
  <c r="Q29" i="2"/>
  <c r="P29" i="2"/>
  <c r="O29" i="2"/>
  <c r="N29" i="2"/>
  <c r="M29" i="2"/>
  <c r="L29" i="2"/>
  <c r="K29" i="2"/>
  <c r="J29" i="2"/>
  <c r="I29" i="2"/>
  <c r="H29" i="2"/>
  <c r="G29" i="2"/>
  <c r="F29" i="2"/>
  <c r="E29" i="2"/>
  <c r="D29" i="2"/>
  <c r="C29" i="2"/>
  <c r="R28" i="2"/>
  <c r="Q28" i="2"/>
  <c r="P28" i="2"/>
  <c r="O28" i="2"/>
  <c r="N28" i="2"/>
  <c r="M28" i="2"/>
  <c r="L28" i="2"/>
  <c r="K28" i="2"/>
  <c r="J28" i="2"/>
  <c r="I28" i="2"/>
  <c r="H28" i="2"/>
  <c r="G28" i="2"/>
  <c r="F28" i="2"/>
  <c r="E28" i="2"/>
  <c r="D28" i="2"/>
  <c r="C28" i="2"/>
  <c r="Q27" i="2"/>
  <c r="H27" i="2"/>
  <c r="S27" i="2" s="1"/>
  <c r="T27" i="2" s="1"/>
  <c r="U27" i="2" s="1"/>
  <c r="Q25" i="2"/>
  <c r="H25" i="2"/>
  <c r="R23" i="2"/>
  <c r="P23" i="2"/>
  <c r="O23" i="2"/>
  <c r="N23" i="2"/>
  <c r="M23" i="2"/>
  <c r="L23" i="2"/>
  <c r="K23" i="2"/>
  <c r="J23" i="2"/>
  <c r="I23" i="2"/>
  <c r="G23" i="2"/>
  <c r="F23" i="2"/>
  <c r="E23" i="2"/>
  <c r="D23" i="2"/>
  <c r="C23" i="2"/>
  <c r="R22" i="2"/>
  <c r="P22" i="2"/>
  <c r="O22" i="2"/>
  <c r="N22" i="2"/>
  <c r="M22" i="2"/>
  <c r="L22" i="2"/>
  <c r="K22" i="2"/>
  <c r="J22" i="2"/>
  <c r="I22" i="2"/>
  <c r="G22" i="2"/>
  <c r="F22" i="2"/>
  <c r="E22" i="2"/>
  <c r="D22" i="2"/>
  <c r="C22" i="2"/>
  <c r="R21" i="2"/>
  <c r="S21" i="2" s="1"/>
  <c r="T21" i="2" s="1"/>
  <c r="U21" i="2" s="1"/>
  <c r="O20" i="2"/>
  <c r="M20" i="2"/>
  <c r="K20" i="2"/>
  <c r="J20" i="2"/>
  <c r="I20" i="2"/>
  <c r="H20" i="2"/>
  <c r="G20" i="2"/>
  <c r="F20" i="2"/>
  <c r="E20" i="2"/>
  <c r="D20" i="2"/>
  <c r="P19" i="2"/>
  <c r="O19" i="2"/>
  <c r="N19" i="2"/>
  <c r="M19" i="2"/>
  <c r="L19" i="2"/>
  <c r="K19" i="2"/>
  <c r="R18" i="2"/>
  <c r="Q18" i="2"/>
  <c r="P18" i="2"/>
  <c r="O18" i="2"/>
  <c r="N18" i="2"/>
  <c r="M18" i="2"/>
  <c r="L18" i="2"/>
  <c r="K18" i="2"/>
  <c r="J18" i="2"/>
  <c r="I18" i="2"/>
  <c r="H18" i="2"/>
  <c r="G18" i="2"/>
  <c r="F18" i="2"/>
  <c r="E18" i="2"/>
  <c r="J17" i="2"/>
  <c r="I17" i="2"/>
  <c r="H17" i="2"/>
  <c r="G17" i="2"/>
  <c r="F17" i="2"/>
  <c r="E17" i="2"/>
  <c r="D17" i="2"/>
  <c r="C17" i="2"/>
  <c r="R15" i="2"/>
  <c r="Q15" i="2"/>
  <c r="P15" i="2"/>
  <c r="O15" i="2"/>
  <c r="N15" i="2"/>
  <c r="M15" i="2"/>
  <c r="L15" i="2"/>
  <c r="K15" i="2"/>
  <c r="J15" i="2"/>
  <c r="I15" i="2"/>
  <c r="H15" i="2"/>
  <c r="G15" i="2"/>
  <c r="F15" i="2"/>
  <c r="E15" i="2"/>
  <c r="D15" i="2"/>
  <c r="C15" i="2"/>
  <c r="R14" i="2"/>
  <c r="Q14" i="2"/>
  <c r="P14" i="2"/>
  <c r="O14" i="2"/>
  <c r="N14" i="2"/>
  <c r="M14" i="2"/>
  <c r="L14" i="2"/>
  <c r="K14" i="2"/>
  <c r="J14" i="2"/>
  <c r="I14" i="2"/>
  <c r="H14" i="2"/>
  <c r="G14" i="2"/>
  <c r="F14" i="2"/>
  <c r="E14" i="2"/>
  <c r="D14" i="2"/>
  <c r="C14" i="2"/>
  <c r="R13" i="2"/>
  <c r="Q13" i="2"/>
  <c r="P13" i="2"/>
  <c r="O13" i="2"/>
  <c r="N13" i="2"/>
  <c r="M13" i="2"/>
  <c r="L13" i="2"/>
  <c r="K13" i="2"/>
  <c r="J13" i="2"/>
  <c r="I13" i="2"/>
  <c r="H13" i="2"/>
  <c r="G13" i="2"/>
  <c r="F13" i="2"/>
  <c r="E13" i="2"/>
  <c r="D13" i="2"/>
  <c r="C13" i="2"/>
  <c r="R12" i="2"/>
  <c r="R16" i="2" s="1"/>
  <c r="Q12" i="2"/>
  <c r="Q16" i="2" s="1"/>
  <c r="P12" i="2"/>
  <c r="P16" i="2" s="1"/>
  <c r="O12" i="2"/>
  <c r="O16" i="2" s="1"/>
  <c r="N12" i="2"/>
  <c r="N16" i="2" s="1"/>
  <c r="M12" i="2"/>
  <c r="M16" i="2" s="1"/>
  <c r="L12" i="2"/>
  <c r="L16" i="2" s="1"/>
  <c r="K12" i="2"/>
  <c r="K16" i="2" s="1"/>
  <c r="J12" i="2"/>
  <c r="J16" i="2" s="1"/>
  <c r="I12" i="2"/>
  <c r="I16" i="2" s="1"/>
  <c r="H12" i="2"/>
  <c r="H16" i="2" s="1"/>
  <c r="G12" i="2"/>
  <c r="G16" i="2" s="1"/>
  <c r="F12" i="2"/>
  <c r="F16" i="2" s="1"/>
  <c r="E12" i="2"/>
  <c r="E16" i="2" s="1"/>
  <c r="D12" i="2"/>
  <c r="D16" i="2" s="1"/>
  <c r="C12" i="2"/>
  <c r="C16" i="2" s="1"/>
  <c r="R11" i="2"/>
  <c r="R24" i="2" s="1"/>
  <c r="Q11" i="2"/>
  <c r="Q26" i="2" s="1"/>
  <c r="P11" i="2"/>
  <c r="P24" i="2" s="1"/>
  <c r="O11" i="2"/>
  <c r="O24" i="2" s="1"/>
  <c r="N11" i="2"/>
  <c r="N24" i="2" s="1"/>
  <c r="M11" i="2"/>
  <c r="M24" i="2" s="1"/>
  <c r="L11" i="2"/>
  <c r="L24" i="2" s="1"/>
  <c r="K11" i="2"/>
  <c r="K24" i="2" s="1"/>
  <c r="J11" i="2"/>
  <c r="J24" i="2" s="1"/>
  <c r="I11" i="2"/>
  <c r="I24" i="2" s="1"/>
  <c r="H11" i="2"/>
  <c r="H26" i="2" s="1"/>
  <c r="G11" i="2"/>
  <c r="F11" i="2"/>
  <c r="F24" i="2" s="1"/>
  <c r="E11" i="2"/>
  <c r="E24" i="2" s="1"/>
  <c r="D11" i="2"/>
  <c r="D24" i="2" s="1"/>
  <c r="C11" i="2"/>
  <c r="S10" i="2"/>
  <c r="T10" i="2" s="1"/>
  <c r="U10" i="2" s="1"/>
  <c r="D115" i="2" l="1"/>
  <c r="H115" i="2"/>
  <c r="G46" i="2"/>
  <c r="S28" i="2"/>
  <c r="T28" i="2" s="1"/>
  <c r="U28" i="2" s="1"/>
  <c r="S29" i="2"/>
  <c r="T29" i="2" s="1"/>
  <c r="U29" i="2" s="1"/>
  <c r="S30" i="2"/>
  <c r="T30" i="2" s="1"/>
  <c r="U30" i="2" s="1"/>
  <c r="S31" i="2"/>
  <c r="T31" i="2" s="1"/>
  <c r="U31" i="2" s="1"/>
  <c r="D46" i="2"/>
  <c r="H46" i="2"/>
  <c r="E115" i="2"/>
  <c r="S19" i="2"/>
  <c r="T19" i="2" s="1"/>
  <c r="U19" i="2" s="1"/>
  <c r="S11" i="2"/>
  <c r="T11" i="2" s="1"/>
  <c r="U11" i="2" s="1"/>
  <c r="S16" i="2"/>
  <c r="T16" i="2" s="1"/>
  <c r="U16" i="2" s="1"/>
  <c r="S13" i="2"/>
  <c r="T13" i="2" s="1"/>
  <c r="U13" i="2" s="1"/>
  <c r="S14" i="2"/>
  <c r="T14" i="2" s="1"/>
  <c r="U14" i="2" s="1"/>
  <c r="S15" i="2"/>
  <c r="T15" i="2" s="1"/>
  <c r="U15" i="2" s="1"/>
  <c r="S17" i="2"/>
  <c r="T17" i="2" s="1"/>
  <c r="U17" i="2" s="1"/>
  <c r="S18" i="2"/>
  <c r="T18" i="2" s="1"/>
  <c r="U18" i="2" s="1"/>
  <c r="S97" i="2"/>
  <c r="T97" i="2" s="1"/>
  <c r="U97" i="2" s="1"/>
  <c r="AQ39" i="4"/>
  <c r="AQ44" i="4"/>
  <c r="S83" i="2"/>
  <c r="T83" i="2" s="1"/>
  <c r="U83" i="2" s="1"/>
  <c r="S85" i="2"/>
  <c r="T85" i="2" s="1"/>
  <c r="U85" i="2" s="1"/>
  <c r="I46" i="2"/>
  <c r="J46" i="2" s="1"/>
  <c r="I50" i="2"/>
  <c r="J50" i="2" s="1"/>
  <c r="S87" i="2"/>
  <c r="T87" i="2" s="1"/>
  <c r="U87" i="2" s="1"/>
  <c r="I117" i="2"/>
  <c r="J117" i="2" s="1"/>
  <c r="I118" i="2"/>
  <c r="J118" i="2" s="1"/>
  <c r="I120" i="2"/>
  <c r="J120" i="2" s="1"/>
  <c r="I130" i="2"/>
  <c r="J130" i="2" s="1"/>
  <c r="S20" i="2"/>
  <c r="T20" i="2" s="1"/>
  <c r="U20" i="2" s="1"/>
  <c r="I41" i="2"/>
  <c r="J41" i="2" s="1"/>
  <c r="I43" i="2"/>
  <c r="J43" i="2" s="1"/>
  <c r="I44" i="2"/>
  <c r="J44" i="2" s="1"/>
  <c r="I45" i="2"/>
  <c r="J45" i="2" s="1"/>
  <c r="E54" i="2"/>
  <c r="I54" i="2" s="1"/>
  <c r="J54" i="2" s="1"/>
  <c r="K86" i="2"/>
  <c r="AQ33" i="4"/>
  <c r="S26" i="2"/>
  <c r="T26" i="2" s="1"/>
  <c r="U26" i="2" s="1"/>
  <c r="S22" i="2"/>
  <c r="T22" i="2" s="1"/>
  <c r="U22" i="2" s="1"/>
  <c r="S23" i="2"/>
  <c r="T23" i="2" s="1"/>
  <c r="U23" i="2" s="1"/>
  <c r="C24" i="2"/>
  <c r="S25" i="2"/>
  <c r="T25" i="2" s="1"/>
  <c r="U25" i="2" s="1"/>
  <c r="I48" i="2"/>
  <c r="J48" i="2" s="1"/>
  <c r="I49" i="2"/>
  <c r="J49" i="2" s="1"/>
  <c r="I51" i="2"/>
  <c r="J51" i="2" s="1"/>
  <c r="I52" i="2"/>
  <c r="J52" i="2" s="1"/>
  <c r="I53" i="2"/>
  <c r="J53" i="2" s="1"/>
  <c r="I58" i="2"/>
  <c r="J58" i="2" s="1"/>
  <c r="I59" i="2"/>
  <c r="J59" i="2" s="1"/>
  <c r="I61" i="2"/>
  <c r="J61" i="2" s="1"/>
  <c r="J86" i="2"/>
  <c r="S86" i="2" s="1"/>
  <c r="T86" i="2" s="1"/>
  <c r="U86" i="2" s="1"/>
  <c r="S88" i="2"/>
  <c r="T88" i="2" s="1"/>
  <c r="U88" i="2" s="1"/>
  <c r="S92" i="2"/>
  <c r="T92" i="2" s="1"/>
  <c r="U92" i="2" s="1"/>
  <c r="S93" i="2"/>
  <c r="T93" i="2" s="1"/>
  <c r="U93" i="2" s="1"/>
  <c r="S95" i="2"/>
  <c r="T95" i="2" s="1"/>
  <c r="U95" i="2" s="1"/>
  <c r="S99" i="2"/>
  <c r="T99" i="2" s="1"/>
  <c r="U99" i="2" s="1"/>
  <c r="S100" i="2"/>
  <c r="T100" i="2" s="1"/>
  <c r="U100" i="2" s="1"/>
  <c r="S101" i="2"/>
  <c r="T101" i="2" s="1"/>
  <c r="U101" i="2" s="1"/>
  <c r="I112" i="2"/>
  <c r="J112" i="2" s="1"/>
  <c r="I119" i="2"/>
  <c r="J119" i="2" s="1"/>
  <c r="AQ34" i="4"/>
  <c r="AQ36" i="4"/>
  <c r="F48" i="4"/>
  <c r="AQ48" i="4" s="1"/>
  <c r="S94" i="2"/>
  <c r="T94" i="2" s="1"/>
  <c r="U94" i="2" s="1"/>
  <c r="S24" i="2"/>
  <c r="T24" i="2" s="1"/>
  <c r="U24" i="2" s="1"/>
  <c r="F12" i="3"/>
  <c r="S82" i="2"/>
  <c r="T82" i="2" s="1"/>
  <c r="U82" i="2" s="1"/>
  <c r="S90" i="2"/>
  <c r="T90" i="2" s="1"/>
  <c r="U90" i="2" s="1"/>
  <c r="S98" i="2"/>
  <c r="T98" i="2" s="1"/>
  <c r="U98" i="2" s="1"/>
  <c r="I110" i="2"/>
  <c r="J110" i="2" s="1"/>
  <c r="I114" i="2"/>
  <c r="J114" i="2" s="1"/>
  <c r="I128" i="2"/>
  <c r="J128" i="2" s="1"/>
  <c r="F11" i="3"/>
  <c r="AQ17" i="4"/>
  <c r="AQ35" i="4"/>
  <c r="I42" i="2"/>
  <c r="J42" i="2" s="1"/>
  <c r="S84" i="2"/>
  <c r="T84" i="2" s="1"/>
  <c r="U84" i="2" s="1"/>
  <c r="S89" i="2"/>
  <c r="T89" i="2" s="1"/>
  <c r="U89" i="2" s="1"/>
  <c r="S96" i="2"/>
  <c r="T96" i="2" s="1"/>
  <c r="U96" i="2" s="1"/>
  <c r="I123" i="2"/>
  <c r="J123" i="2" s="1"/>
  <c r="I113" i="2"/>
  <c r="J113" i="2" s="1"/>
  <c r="I127" i="2"/>
  <c r="J127" i="2" s="1"/>
  <c r="H9" i="3"/>
  <c r="I9" i="3" s="1"/>
  <c r="J9" i="3" s="1"/>
  <c r="I18" i="4"/>
  <c r="AQ16" i="4"/>
  <c r="AQ29" i="4"/>
  <c r="AQ30" i="4"/>
  <c r="AQ31" i="4"/>
  <c r="AQ37" i="4"/>
  <c r="S81" i="2"/>
  <c r="T81" i="2" s="1"/>
  <c r="U81" i="2" s="1"/>
  <c r="S12" i="2"/>
  <c r="T12" i="2" s="1"/>
  <c r="U12" i="2" s="1"/>
  <c r="I60" i="2"/>
  <c r="J60" i="2" s="1"/>
  <c r="I111" i="2"/>
  <c r="J111" i="2" s="1"/>
  <c r="C115" i="2"/>
  <c r="I115" i="2" s="1"/>
  <c r="J115" i="2" s="1"/>
  <c r="I129" i="2"/>
  <c r="J129" i="2" s="1"/>
  <c r="E11" i="3"/>
  <c r="E12" i="3" s="1"/>
  <c r="H13" i="3"/>
  <c r="I13" i="3" s="1"/>
  <c r="J13" i="3" s="1"/>
  <c r="AQ41" i="4"/>
  <c r="E42" i="4"/>
  <c r="H10" i="3"/>
  <c r="I10" i="3" s="1"/>
  <c r="J10" i="3" s="1"/>
  <c r="D11" i="3"/>
  <c r="D12" i="3" s="1"/>
  <c r="C11" i="3"/>
  <c r="G11" i="3"/>
  <c r="G12" i="3" s="1"/>
  <c r="I20" i="4" l="1"/>
  <c r="AQ20" i="4" s="1"/>
  <c r="AQ18" i="4"/>
  <c r="H11" i="3"/>
  <c r="I11" i="3" s="1"/>
  <c r="J11" i="3" s="1"/>
  <c r="C12" i="3"/>
  <c r="H12" i="3" s="1"/>
  <c r="I12" i="3" s="1"/>
  <c r="J12" i="3" s="1"/>
  <c r="E43" i="4"/>
  <c r="AQ43" i="4" s="1"/>
  <c r="AQ42" i="4"/>
</calcChain>
</file>

<file path=xl/sharedStrings.xml><?xml version="1.0" encoding="utf-8"?>
<sst xmlns="http://schemas.openxmlformats.org/spreadsheetml/2006/main" count="707" uniqueCount="294">
  <si>
    <t>ITEM</t>
  </si>
  <si>
    <t>DESCRIPCIÓN</t>
  </si>
  <si>
    <t xml:space="preserve">MEDICIONES </t>
  </si>
  <si>
    <t>UD</t>
  </si>
  <si>
    <t>CANTIDAD</t>
  </si>
  <si>
    <t>PRECIO UNIT.</t>
  </si>
  <si>
    <t>TOTAL UNIT.</t>
  </si>
  <si>
    <t>ML</t>
  </si>
  <si>
    <t xml:space="preserve">Suministro y colocación de identificación y etiquetado de cableado </t>
  </si>
  <si>
    <t>PZA</t>
  </si>
  <si>
    <t xml:space="preserve">lote </t>
  </si>
  <si>
    <t>1.275,00</t>
  </si>
  <si>
    <t xml:space="preserve">Suminsitro y colocación de fleje de plastico 3/4" </t>
  </si>
  <si>
    <t>MTS</t>
  </si>
  <si>
    <t xml:space="preserve">LOTE </t>
  </si>
  <si>
    <t>CONCEPTO</t>
  </si>
  <si>
    <t>UNIDAD</t>
  </si>
  <si>
    <t>TOTAL</t>
  </si>
  <si>
    <t>RMTA4</t>
  </si>
  <si>
    <t xml:space="preserve">TRAZO Y NIVELACION DE TERRENO PARA LINEAS ELECTRICAS. </t>
  </si>
  <si>
    <t xml:space="preserve">EXCAVACION A MAQUINA CON RETROEXCAVADORA EN MATERIAL TIPO (VERIFICAR DE ACUERDO A CADA ZONA), DE 0.00 A 2.00 MT. </t>
  </si>
  <si>
    <t>M3</t>
  </si>
  <si>
    <t>BANDA DE ADVERTENCIA CON LEYENDA "PELIGRO ALTA TENSION"</t>
  </si>
  <si>
    <t>RELLENO EN CEPAS CON MATERIAL DE BANCO TEPETATE, COMPACTADO CON COMPACTADOR MANUAL DE IMPACTO (BAILARINA) AL 95% DE SU P.V.S.M.</t>
  </si>
  <si>
    <t xml:space="preserve">ACARREO DE MATERIAL PRODUCTO DE LA EXCAVACION. </t>
  </si>
  <si>
    <t>TUBO DE POLIETILENO DE ALTA DENSIDAD LISO RD-19 DE 51 MM (2") DE DIAMETRO NOMINAL</t>
  </si>
  <si>
    <t>M2</t>
  </si>
  <si>
    <t>REPOSICIÓN DE CONCRETO HIDRAULICO SEGÚN ACABADO ACTUAL.</t>
  </si>
  <si>
    <t>CORTE DE BANQUETA DE CONCRETO.</t>
  </si>
  <si>
    <t>DEMOLICIÓN DE BANQUETA DE CONCRETO.</t>
  </si>
  <si>
    <t xml:space="preserve">FLEJE DE PLÁSTICO DE 1/2". </t>
  </si>
  <si>
    <t>HEBILLA PARA FLEJE DE 1/2".</t>
  </si>
  <si>
    <t>RATONEADO PARA DUCTOS</t>
  </si>
  <si>
    <t>RAFIA PARA GUIAR CANALIZACIONES</t>
  </si>
  <si>
    <t>ABOCINADO PARA DUCTOS</t>
  </si>
  <si>
    <t>REPOSICIÓN DE CARPETA ASFALTICA SEGÚN ACABADO ACTUAL.</t>
  </si>
  <si>
    <t>TUBO DE POLIETILENO DE ALTA DENSIDAD LISO RD-19 DE 76 MM (3") DE DIAMETRO NOMINAL</t>
  </si>
  <si>
    <t>CORTE DE CONCRETO.</t>
  </si>
  <si>
    <t>DEMOLICIÓN DE CONCRETO.</t>
  </si>
  <si>
    <t>REPOSICIÓN DE CONCRETO SEGÚN ACABADO ACTUAL.</t>
  </si>
  <si>
    <t xml:space="preserve">ACOMETIDA MT </t>
  </si>
  <si>
    <t>A.1</t>
  </si>
  <si>
    <t>TUBO DE POLIETILENO DE ALTA DENSIDAD LISO RD-19 DE 38  MM (1 1/2") DE DIAMETRO NOMINAL</t>
  </si>
  <si>
    <t>RELLENO EN CEPAS CON MATERIAL PRODUCTO DE LA EXCAVACIÓN, COMPACTADO CON COMPACTADOR MANUAL DE IMPACTO (BAILARINA) AL 95% DE SU P.V.S.M.</t>
  </si>
  <si>
    <t xml:space="preserve">M3 </t>
  </si>
  <si>
    <t>B.1</t>
  </si>
  <si>
    <t>C.1</t>
  </si>
  <si>
    <t xml:space="preserve">PLACAS DE PROTECCIÓN </t>
  </si>
  <si>
    <t>TUBO DE POLIETILENO DE ALTA DENSIDAD LISO RD-19 DE 63 MM (2 1/2") DE DIAMETRO NOMINAL</t>
  </si>
  <si>
    <t>ml</t>
  </si>
  <si>
    <t>C.1'</t>
  </si>
  <si>
    <t>D.1</t>
  </si>
  <si>
    <t>E.1</t>
  </si>
  <si>
    <t>F.1</t>
  </si>
  <si>
    <t xml:space="preserve">G.1 </t>
  </si>
  <si>
    <t>H.1</t>
  </si>
  <si>
    <t>TUBO DE POLIETILENO DE ALTA DENSIDAD LISO RD-19 DE 160 MM (6") DE DIAMETRO NOMINAL</t>
  </si>
  <si>
    <t>H.2</t>
  </si>
  <si>
    <t>I.1</t>
  </si>
  <si>
    <t>I.2</t>
  </si>
  <si>
    <t>J.1</t>
  </si>
  <si>
    <t xml:space="preserve">J.2 </t>
  </si>
  <si>
    <t>P.2 (PERIMETRAL)</t>
  </si>
  <si>
    <t xml:space="preserve">P.1 (PERIMETRAL) </t>
  </si>
  <si>
    <t xml:space="preserve">CONCRETO </t>
  </si>
  <si>
    <t>A.2</t>
  </si>
  <si>
    <t xml:space="preserve">B.2 </t>
  </si>
  <si>
    <t>C.2</t>
  </si>
  <si>
    <t>CONCRETO F´C=250 KG/CM2</t>
  </si>
  <si>
    <t xml:space="preserve">PLACA DE PROTECCIÓN </t>
  </si>
  <si>
    <t>TUBO DE POLIETILENO DE ALTA DENSIDAD LISO RD-19 DE 156 MM (6") DE DIAMETRO NOMINAL</t>
  </si>
  <si>
    <t>M4</t>
  </si>
  <si>
    <t>CONCRETO F´C=100 KG/CM2</t>
  </si>
  <si>
    <t xml:space="preserve">BANCO DE DUCTOS BAJA TENSIÓN  solem 2 </t>
  </si>
  <si>
    <t xml:space="preserve">BANCO DE DUCTOS EN MEDIA TENSIÓN solem 1 </t>
  </si>
  <si>
    <t>BANCO DE DUCTOS BAJA TENSIÓN solem 1</t>
  </si>
  <si>
    <t>BANCO DE DUCTOS EN MEDIA TENSIÓN solem 2</t>
  </si>
  <si>
    <t>97,00</t>
  </si>
  <si>
    <t>17.574,00</t>
  </si>
  <si>
    <r>
      <rPr>
        <b/>
        <sz val="11"/>
        <color theme="1"/>
        <rFont val="Calibri"/>
        <family val="2"/>
        <scheme val="minor"/>
      </rPr>
      <t>Instalacion de la red de tierras perimetral del Centro de Transformación con conexión de PAT de caseta de inversores.</t>
    </r>
    <r>
      <rPr>
        <sz val="11"/>
        <color theme="1"/>
        <rFont val="Calibri"/>
        <family val="2"/>
        <scheme val="minor"/>
      </rPr>
      <t xml:space="preserve"> Incluye colocación de cable desnudo de cobre de 50 mm2 en zanja, conexión con la red de tierras interior del Centro de transformación con soldadura aluminotérmica, conexion con la red de tierras de la planta (instalada en el concepo de zanjas ) y colocación de picas de Ø 5/8" x 2,00 mts de longitud. Todas las uniónes deben realizarse con soldadura aluminotermica.Cable y picas suministradas por ORTIZ ENERGIA</t>
    </r>
  </si>
  <si>
    <r>
      <rPr>
        <b/>
        <sz val="11"/>
        <color theme="1"/>
        <rFont val="Calibri"/>
        <family val="2"/>
        <scheme val="minor"/>
      </rPr>
      <t xml:space="preserve">Instalación de Puesta a tierra de Seguidor Solar. </t>
    </r>
    <r>
      <rPr>
        <sz val="11"/>
        <color theme="1"/>
        <rFont val="Calibri"/>
        <family val="2"/>
        <scheme val="minor"/>
      </rPr>
      <t>Instalacion completa y conexión de la estructura del Seguidor Solar con red de tierras de la planta, incluyendo la fabricacion del latiguillo de cable de cobre de aprox 1 metros. Sunimistro del terminal y pequeño material para conexión del cable de PAT con el Seguidor. Cable suministrado por ORTIZ ENERGIA</t>
    </r>
  </si>
  <si>
    <r>
      <rPr>
        <b/>
        <sz val="11"/>
        <color theme="1"/>
        <rFont val="Calibri"/>
        <family val="2"/>
        <scheme val="minor"/>
      </rPr>
      <t xml:space="preserve">Instalación de Puesta a tierra de Cuadro de Nivel I y marco metálico de soporte. </t>
    </r>
    <r>
      <rPr>
        <sz val="11"/>
        <color theme="1"/>
        <rFont val="Calibri"/>
        <family val="2"/>
        <scheme val="minor"/>
      </rPr>
      <t>Instalacion completa y conexión de Cuadro de nivel I y marco metálico de soporte de CNI con cable de aprox.1 metros, y de este punto común con red de tierras de la planta con latiguillo de cable de cobre de aprox 2 metros. Suministro de terminal y fabricacion del latiguillo del cable de PAT con el seguidor.Cable suministrado por ORTIZ ENERGIA</t>
    </r>
  </si>
  <si>
    <r>
      <rPr>
        <b/>
        <sz val="11"/>
        <color theme="1"/>
        <rFont val="Calibri"/>
        <family val="2"/>
        <scheme val="minor"/>
      </rPr>
      <t>Instalación de Puesta a tierra de Cuadro de Distribución de motores y marco metálico de soporte</t>
    </r>
    <r>
      <rPr>
        <sz val="11"/>
        <color theme="1"/>
        <rFont val="Calibri"/>
        <family val="2"/>
        <scheme val="minor"/>
      </rPr>
      <t>. Instalacion y conexión del Cuadro de distribución de motores y marco metálico de soporte, con cable de aprox. 1 metros. Suministro del terminal y fabricacion del latiguillo del cable de PAT con el seguidor.Cable suministrado por ORTIZ ENERGIA</t>
    </r>
  </si>
  <si>
    <t>ENSAYOS Y PRUEBAS</t>
  </si>
  <si>
    <t xml:space="preserve">REGISTROS ELECTRICOS  SOLEM 1 Y SOLEM 2 </t>
  </si>
  <si>
    <t xml:space="preserve">REGISTRO DE 
60 X 60 X 100 CMS </t>
  </si>
  <si>
    <t xml:space="preserve">REGISTRO DE 
100 X 100 X 100 CMS </t>
  </si>
  <si>
    <t xml:space="preserve">REGISTRO DE 
120 X 120 X 100 CMS </t>
  </si>
  <si>
    <t>REGISTRO DE 
160 X 120 X 100 CMS</t>
  </si>
  <si>
    <t xml:space="preserve">REGISTRO DE 
270 X 150 X 100 CMS </t>
  </si>
  <si>
    <t xml:space="preserve">TRAZO Y NIVELACION DE TERRENO PARA REGISTROS ELECTRICOS </t>
  </si>
  <si>
    <t xml:space="preserve">SELLADO DE ENTRADAS PARA TUBOS NO UTILIZADOS A BASE DE CONCRETO F`C= 150 KG/CM2 </t>
  </si>
  <si>
    <t xml:space="preserve">                           DEPARTAMENTO DE INGENIERIA Y CONSTRUCCION</t>
  </si>
  <si>
    <t>FORMATO:</t>
  </si>
  <si>
    <t>FTO-ING-017</t>
  </si>
  <si>
    <t>FECHA DE REV.</t>
  </si>
  <si>
    <t xml:space="preserve">                        CATALOGO DE CONCEPTOS</t>
  </si>
  <si>
    <t>No. DE REV.</t>
  </si>
  <si>
    <t>CLIENTE:</t>
  </si>
  <si>
    <t>COMISION FEDERAL DE ELECTRICIDAD</t>
  </si>
  <si>
    <t>REALIZÓ:</t>
  </si>
  <si>
    <t>PEDRO S. N.</t>
  </si>
  <si>
    <t>OBRA:</t>
  </si>
  <si>
    <t>REDES DE DISTRIBUCION</t>
  </si>
  <si>
    <t>FECHA:</t>
  </si>
  <si>
    <t>PROYECTO:</t>
  </si>
  <si>
    <t>1322 3A FASE</t>
  </si>
  <si>
    <t>HOJA:</t>
  </si>
  <si>
    <t>DE</t>
  </si>
  <si>
    <t>PARTIDA</t>
  </si>
  <si>
    <t>DESCRIPCION</t>
  </si>
  <si>
    <t>112KVA</t>
  </si>
  <si>
    <t>BT3FRMTB4</t>
  </si>
  <si>
    <t>CFE-PVMTAX.</t>
  </si>
  <si>
    <t>BT3FRMTA4</t>
  </si>
  <si>
    <t>RED DE MEDIA TENSION</t>
  </si>
  <si>
    <t>MT</t>
  </si>
  <si>
    <t xml:space="preserve">CONECTOR MULTIPLE DE MEDIA TENSION DE FRENTE MUERTO, 200 AMP, 25 KV, DE 4 VIAS, 2 VIAS CON BOQUILLAS TIPO INSERTO, INCLUYE HERRAJE DE ACERO INOXIDABLE PARA MONTAJE.  </t>
  </si>
  <si>
    <t xml:space="preserve">CONECTOR MULTIPLE DE MEDIA TENSION DE FRENTE MUERTO, 200 AMP, 25 KV, DE 3 VIAS, 2 VIAS CON BOQUILLAS TIPO INSERTO, INCLUYE HERRAJE DE ACERO INOXIDABLE PARA MONTAJE.  </t>
  </si>
  <si>
    <t>BOQUILLA TIPO INSERTO CAL.3/0, CLASE 25 KV, 200 AMP. PARA OPERAR CON CARGA.</t>
  </si>
  <si>
    <t>CONECTOR TIPO CODO OPERACIÓN CON CARGA, CLASE 25 KV, CAL. 3/0, 200 AMP.</t>
  </si>
  <si>
    <t>ADAPTADOR DE TIERRA CLASE 25 KV, 200 AMP, CAL. 3/0 AWG.</t>
  </si>
  <si>
    <t>CONECTOR TIPO CODO PORTAFUSIBLES OPERACIÓN CON CARGA, CLASE 25 KV, CAL. 3/0, 200 AMP., CON FUSIBLE LIMITADOR DE CORRIENTE DE 6 AMP.</t>
  </si>
  <si>
    <t>FUSIBLE LIMITADOR DE CORRIENTE PARA CODO PORTAFUSIBLE DE 6 A 30 AMP</t>
  </si>
  <si>
    <t xml:space="preserve">TAPON AISLADO OPERACIÓN CON CARGA CLASE 25 KV, 200 AMP.  </t>
  </si>
  <si>
    <t>BOQUILLA ESTACIONARIA AISLADA CLASE 25KV</t>
  </si>
  <si>
    <t xml:space="preserve">APARTARRAYOE TIPO CODO 200/OCC 25 KV.  </t>
  </si>
  <si>
    <t xml:space="preserve">APARTARRAYOE TIPO BOQUILLA ESTACIONARIA CON INTERFASE PARA CONEXIÓN DE OTROS ACCESORIOS 200/OCC 25 KV.  </t>
  </si>
  <si>
    <t>INDICADOR DE FALLA MONAFASICO DE REESTABLECIMIENTO AUTOMATICO CLASE 25 KV, 200 AMP.</t>
  </si>
  <si>
    <t>CABLE THW CAL. 8 AWG, PARA ATERRIZAR PANTALLAS</t>
  </si>
  <si>
    <t xml:space="preserve">CONECTOR A TOPE CAL 8 AWG. </t>
  </si>
  <si>
    <t>ZAPATA OJILLO PONCHABLE CALIBRE 8 AWG.</t>
  </si>
  <si>
    <t xml:space="preserve">BARRA DE CONEXIONES PARA ATERRIZAR PANTALLAS DE CODOS Y ACCESORIOS EN DERIVADORES DE MEDIA TENSIÓN. </t>
  </si>
  <si>
    <t>LOTE</t>
  </si>
  <si>
    <t>AUXILIARES</t>
  </si>
  <si>
    <t>AISLADOR TIPO BARRIL</t>
  </si>
  <si>
    <t>BARRA DE COBRE DE 300 MM DE LARGO POR 50 MM DE ANCHO Y 6.35 MM (1/4") DE ESPESOR</t>
  </si>
  <si>
    <t>TAQUETE EXPANSIVO DE 1/4" CON TORNILLO DE 1/4" X 1 1/2"</t>
  </si>
  <si>
    <t>ZAPATA DE COMPRESION CAL. 1/0 AWG, CAÑON LARGO UN HOJILLO</t>
  </si>
  <si>
    <t>CABLE DE COBRE DESNUDO CAL. 1/0 AWG</t>
  </si>
  <si>
    <t>CINTA TERMOPLASTICA COLOR AMARILLO, VERDE Y AZUL, PARA IDENTIFICACION DE FASES EN REGISTROS Y POZOS DE MEDIA TENSION.</t>
  </si>
  <si>
    <t xml:space="preserve">PLACA DE IDENTIFICACIÓN DE CIRCUITOS 3X8 CMS, COLOR AMARILLO, LETRAS COLOR NEGRO.  </t>
  </si>
  <si>
    <t xml:space="preserve">CORREDERA DE FIERRO GALVANIZADO AG-100-1, FIJADA CON 2 TAQUETES EXPANSIVOS DE 1/2". </t>
  </si>
  <si>
    <t>MENSULA DE FIERRO GALVANIZADO AG-35</t>
  </si>
  <si>
    <t>AISLADOR DE NEOPRENO PARA MENSULA.</t>
  </si>
  <si>
    <t xml:space="preserve">CINTILLOS DE PLASTICO 30 CMS. </t>
  </si>
  <si>
    <t>VARILLA PARA TIERRA COPPERWELD 5/8" x 10' (16x3048 mm).</t>
  </si>
  <si>
    <t>CONEXIÓN SOLDABLE DE CABLE DE PASO CAL. 1/0 A VARILLA PARA TIERRA DE 5/8". CAT. GTC-312C, MCA. CADWELD.</t>
  </si>
  <si>
    <t>CONEXIÓN SOLDABLE EN T HORIZONTAL CON CABLE DE PASO CAL. 1/0 AWG A CABLE EN DERIVACION CAL. 1/0 AWG. CAT. TAC-2C2C, MCA. CADWELD.</t>
  </si>
  <si>
    <t>CONEXIÓN SOLDABLE DE CABLE CAL. 1/0 AWG A  A VARILLA PARA TIERRA DE 5/8". CAT. GRC-312C, MCA. CADWELD.</t>
  </si>
  <si>
    <t>CARGA CADWELD DE No. 90</t>
  </si>
  <si>
    <t xml:space="preserve">ROTULACIÓN DE No. DE REGISTRO, FONDO AMARILLO, LETRAS COLOR NEGRO. </t>
  </si>
  <si>
    <t>ROTULACION DE No. DISPOSITIVO TIPO J.</t>
  </si>
  <si>
    <t>PRUEBAS DE BAJA FRECUENCIA A CABLES DE ENERGIA</t>
  </si>
  <si>
    <t>CABLES</t>
  </si>
  <si>
    <t>ENTREGA RECEPCION DE OBRA</t>
  </si>
  <si>
    <t xml:space="preserve">CONEXIÓN EN VIVO </t>
  </si>
  <si>
    <t>RED DE BAJA TENSION</t>
  </si>
  <si>
    <t>CABLE DE ALUMINIO CON AISLAMIENTO DE POLIETILENO DE ALTA DENSIDAD XLP TRIPEX  2C/1N  (3/0-1/0).</t>
  </si>
  <si>
    <t>CABLE DE ALUMINIO CON AISLAMIENTO DE POLIETILENO DE ALTA DENSIDAD XLP TRIPEX  2C/1N  (1/0-2).</t>
  </si>
  <si>
    <t>CABLE DE ALUMINIO CON AISLAMIENTO DE POLIETILENO DE ALTA DENSIDAD XLP CUADRUPLEX  3C/1N  (3/0-1/0).</t>
  </si>
  <si>
    <t>CABLE DE ALUMINIO CON AISLAMIENTO DE POLIETILENO DE ALTA DENSIDAD XLP CUADRUPLEX  3C/1N  (1/0-2).</t>
  </si>
  <si>
    <t>CONECTOR MULTIPLE SUBTERRANEO 600 V, 8 VIAS, CAT. RAB-8, MCA. HOMAC.</t>
  </si>
  <si>
    <t>CONECTOR MULTIPLE SUBTERRANEO 600 V, 6 VIAS, CAT. RAB-6, MCA. HOMAC.</t>
  </si>
  <si>
    <t>CONECTOR MULTIPLE SUBTERRANEO 600 V, 4 VIAS, CAT. RAB-4, MCA. HOMAC.</t>
  </si>
  <si>
    <t>EMPALME EN DERIVACION DE BAJA TENSION MARCA RAYCHEM CAT. CRSM-CT-53/13-200.</t>
  </si>
  <si>
    <t>JGO</t>
  </si>
  <si>
    <t>CONECTOR A COMPRESION, CAT. OB1010 MARCA HOMAC.</t>
  </si>
  <si>
    <t>CABLE DE COBRE THW CAL. 2. AWG.</t>
  </si>
  <si>
    <t>CONEXIÓN SOLDABLE DE CABLE CAL. 2 A VARILLA PARA TIERRA DE 5/8" CAT: GRC-161V, CON CARGA No. 65.</t>
  </si>
  <si>
    <t>ZAPATA DE COMPRESION CAL. 3/0 AWG, CAÑON LARGO DOBLE HOJILLO</t>
  </si>
  <si>
    <t>ZAPATA DE COMPRESION CAL. 1/0 AWG, CAÑON LARGO DOBLE HOJILLO</t>
  </si>
  <si>
    <t>PLACA DE IDENTIFICACION DE REGISTRO DE BAJA TENSION CON FONDO AMARILLO, LETRAS COLOR NEGRO.</t>
  </si>
  <si>
    <t>PRUEBAS DE AISLAMIENTO PARA CIRCUITO DE BAJA TENSIÓN</t>
  </si>
  <si>
    <t>CTO</t>
  </si>
  <si>
    <t>TUBO DE POLIETILENO DE ALTA DENSIDAD 1 1/4 (PAD).</t>
  </si>
  <si>
    <t>SELLADO DE DUCTOS DE BAJA TENSIÓN CON ESTOPA, YESO E IMPERMEABILIZANTE.</t>
  </si>
  <si>
    <t>ACOMETIDAS EN BAJA TENSION</t>
  </si>
  <si>
    <t>CABLE DE ALUMINIO CON AISLAMIENTO DE POLIETILENO DE ALTA DENSIDAD XLP DUPLEX  1C/1N  (6-6).</t>
  </si>
  <si>
    <t>CABLE DE ALUMINIO CON AISLAMIENTO DE POLIETILENO DE ALTA DENSIDAD XLP TRIPLEX  2C/1N  (6-6).</t>
  </si>
  <si>
    <t>CABLE DE ALUMINIO CON AISLAMIENTO DE POLIETILENO DE ALTA DENSIDAD XLP CUADRUPLEX  3C/1N  (6-6).</t>
  </si>
  <si>
    <t>BASE ENCHUFE DE 5 TERMINALES CUADRADA - 100 A.</t>
  </si>
  <si>
    <t>CENTRO DE CARGA CON INTERRUPTOR TERMOMAGNETICO DE 2X50 A.</t>
  </si>
  <si>
    <t>MURETE DE MEDICIÓN DE CONCRETO ARMADO CON BASE ENCHUFE 5 TERMINALES CUADRADA - 100 A. Y CENTRO DE CARGA PARA DOS CIRCUITOS CON INTERRUPTOR TERMOMAGNÉTICO 2X50 A.</t>
  </si>
  <si>
    <t>TUBO DE POLIETILENO DE ALTA DENSIDAD LISO 38 MM DE DIAMETRO (PAD).</t>
  </si>
  <si>
    <t>TUBO DE POLIETILENO DE ALTA DENSIDAD LISO 50 MM DE DIAMETRO (PAD).</t>
  </si>
  <si>
    <t>POLIDUCTO 25 MM DE DIAMETRO.</t>
  </si>
  <si>
    <t>VARILLA PARA TIERRA ACE 16  (16x1500 mm).</t>
  </si>
  <si>
    <t>CONECTOR MECANICO PARA VARILLA DE TIERRA.</t>
  </si>
  <si>
    <t>TUBO DE CONDUIT PARED GRUESA 32 MM DE DIAMETRO.</t>
  </si>
  <si>
    <t>CODO CONDUIT PVC SERVICIO PESADO 38 MM DE DIAMETRO.</t>
  </si>
  <si>
    <t>POLIDUCTO 32 MM DE DIAMETRO.</t>
  </si>
  <si>
    <t>CODO CONDUIT PVC SERVICIO PESADO 50 MM DE DIAMETRO.</t>
  </si>
  <si>
    <t>ABRAZADERA TIPO OMEGA 32 MM.</t>
  </si>
  <si>
    <t>CABLE DE COBRE DESNUDO CAL. 8 AWG.</t>
  </si>
  <si>
    <t>KG</t>
  </si>
  <si>
    <t>CABLE DE COBRE THW CAL. 6 AWG.</t>
  </si>
  <si>
    <t>REDUCCIÓN DE PVC DE 38 MM A 32 MM.</t>
  </si>
  <si>
    <t>RANURADO DE MURO (FACHADA DE CASA).</t>
  </si>
  <si>
    <t>RESANADO DE MURO (FACHADA DE CASA) DE ACUERDO AL ACABADO ACTUAL.</t>
  </si>
  <si>
    <t xml:space="preserve">CORTE Y DEMOLICÓN DE BANQUETA DE CONCRETO. </t>
  </si>
  <si>
    <t xml:space="preserve">REPOSICIÓN DE BANQUETA DE CONCRETO (ADICIONAR FIBRA HI-TECH EN PROPORCIÓN DE 750G/M3 DE CONCRETO), DE ACUERDO AL ACABADO ACTUAL. </t>
  </si>
  <si>
    <t>DEMOLICIÓN DE PISO DE CONCRETO.</t>
  </si>
  <si>
    <t>REPOSICIÓN DE PISO DE CONCRETO (ADICIONAR FIBRA HI-TECH EN PROPORCIÓN DE 750G/M3 DE CONCRETO),  DE ACUERDO AL ACABADO ACTUAL.</t>
  </si>
  <si>
    <t xml:space="preserve">CORTE Y DEMOLICÓN DE GUARNICIÓN DE CONCRETO. </t>
  </si>
  <si>
    <t xml:space="preserve">REPOSICIÓN DE GUARNICIÓN DE CONCRETO (ADICIONAR FIBRA HI-TECH EN PROPORCIÓN DE 750G/M3 DE CONCRETO), DE ACUERDO AL ACABADO ACTUAL. </t>
  </si>
  <si>
    <t xml:space="preserve">EXCAVACIÓN DE TERRENO TIPO B. </t>
  </si>
  <si>
    <t>RELLENO Y COMPACTACIÓN DE CEPA CON TEPETATE DE BANCO.</t>
  </si>
  <si>
    <t>ACARREO DE MATERIAL PRODUCTO DE EXCAVACIÓN.</t>
  </si>
  <si>
    <t>DESCONEXIÓN DE ACOMETIDAS DE BAJA TENSIÓN</t>
  </si>
  <si>
    <t>DESMANTELAMIENTO DE CABLE NEUTRANEL 2+1 CAL. 6</t>
  </si>
  <si>
    <t>OBRA CIVIL</t>
  </si>
  <si>
    <t>CENSO DETALLADO DE INSTALACIONES SUBTERRANEAS EXISTENTES VISIBLES Y OCULTAS EN TODA LA TRAYECTORIA DE LA RED.</t>
  </si>
  <si>
    <r>
      <t xml:space="preserve">EXCAVACION A MAQUINA CON RETROEXCAVADORA EN MATERIAL TIPO </t>
    </r>
    <r>
      <rPr>
        <b/>
        <sz val="10"/>
        <rFont val="Verdana"/>
        <family val="2"/>
      </rPr>
      <t>(VERIFICAR DE ACUERDO A CADA ZONA)</t>
    </r>
    <r>
      <rPr>
        <sz val="10"/>
        <rFont val="Verdana"/>
        <family val="2"/>
      </rPr>
      <t xml:space="preserve">, DE 0.00 A 2.00 MT. </t>
    </r>
  </si>
  <si>
    <t>REGISTROS</t>
  </si>
  <si>
    <r>
      <t xml:space="preserve">REGISTRO  PARA  BAJA  TENSIÓN    EN  BANQUETA  TIPO  1  NORMA  </t>
    </r>
    <r>
      <rPr>
        <b/>
        <sz val="10"/>
        <rFont val="Verdana"/>
        <family val="2"/>
      </rPr>
      <t>CFE-TN-RBTB1.</t>
    </r>
  </si>
  <si>
    <r>
      <t xml:space="preserve">REGISTRO  PARA  BAJA  TENSIÓN    EN  BANQUETA  TIPO  2  NORMA  </t>
    </r>
    <r>
      <rPr>
        <b/>
        <sz val="10"/>
        <rFont val="Verdana"/>
        <family val="2"/>
      </rPr>
      <t>CFE-TN-RBTB2.</t>
    </r>
  </si>
  <si>
    <r>
      <t xml:space="preserve">REGISTRO  PARA  BAJA  TENSIÓN    EN  BANQUETA PARA SERVICIOS COMPARTIDOS TIPO  1  NORMA  </t>
    </r>
    <r>
      <rPr>
        <b/>
        <sz val="10"/>
        <rFont val="Verdana"/>
        <family val="2"/>
      </rPr>
      <t>CFE-TN-RBTBSC1.</t>
    </r>
  </si>
  <si>
    <r>
      <t xml:space="preserve">REGISTRO  PARA  BAJA  TENSIÓN    EN  BANQUETA PARA SERVICIOS COMPARTIDOS TIPO  2  NORMA  </t>
    </r>
    <r>
      <rPr>
        <b/>
        <sz val="10"/>
        <rFont val="Verdana"/>
        <family val="2"/>
      </rPr>
      <t>CFE-TN-RBTBSC2.</t>
    </r>
  </si>
  <si>
    <r>
      <t xml:space="preserve">REGISTRO PARA MEDIA TENSION  EN BANQUETA TIPO 3, NORMA </t>
    </r>
    <r>
      <rPr>
        <b/>
        <sz val="10"/>
        <rFont val="Verdana"/>
        <family val="2"/>
      </rPr>
      <t>CFE-TN-RMTB3.</t>
    </r>
  </si>
  <si>
    <r>
      <t xml:space="preserve">REGISTRO PARA MEDIA TENSION  EN BANQUETA TIPO 4, NORMA </t>
    </r>
    <r>
      <rPr>
        <b/>
        <sz val="10"/>
        <rFont val="Verdana"/>
        <family val="2"/>
      </rPr>
      <t>CFE-TN-RMTB4.</t>
    </r>
  </si>
  <si>
    <r>
      <t xml:space="preserve">REGISTRO  PARA  MEDIA  TENSIÓN  EN  BANQUETA  TIPO  4  CON  TAPA  CUADRADA, NORMA  </t>
    </r>
    <r>
      <rPr>
        <b/>
        <sz val="10"/>
        <rFont val="Verdana"/>
        <family val="2"/>
      </rPr>
      <t>CFE-TN-RMTB4TC.</t>
    </r>
  </si>
  <si>
    <r>
      <t xml:space="preserve">POZO DE VISITA PARA MEDIA TENSION TIPO "X" EN BANQUETA, NORMA </t>
    </r>
    <r>
      <rPr>
        <b/>
        <sz val="10"/>
        <rFont val="Verdana"/>
        <family val="2"/>
      </rPr>
      <t>CFE-PVMTBX.</t>
    </r>
  </si>
  <si>
    <r>
      <t xml:space="preserve">POZO DE VISITA PARA MEDIA TENSION TIPO "P" EN BANQUETA, NORMA </t>
    </r>
    <r>
      <rPr>
        <b/>
        <sz val="10"/>
        <rFont val="Verdana"/>
        <family val="2"/>
      </rPr>
      <t>CFE-PVMTBP.</t>
    </r>
  </si>
  <si>
    <r>
      <t xml:space="preserve">POZO DE VISITA PARA MEDIA TENSION TIPO "T" EN BANQUETA, NORMA </t>
    </r>
    <r>
      <rPr>
        <b/>
        <sz val="10"/>
        <rFont val="Verdana"/>
        <family val="2"/>
      </rPr>
      <t>CFE-PVMTBT.</t>
    </r>
  </si>
  <si>
    <r>
      <t xml:space="preserve">POZO DE VISITA PARA MEDIA TENSION TIPO "L" EN BANQUETA, NORMA </t>
    </r>
    <r>
      <rPr>
        <b/>
        <sz val="10"/>
        <rFont val="Verdana"/>
        <family val="2"/>
      </rPr>
      <t>CFE-PVMTBL.</t>
    </r>
  </si>
  <si>
    <r>
      <t xml:space="preserve">REGISTRO PARA BAJA TENSION EN ARROYO  TIPO  1, NORMA </t>
    </r>
    <r>
      <rPr>
        <b/>
        <sz val="10"/>
        <rFont val="Verdana"/>
        <family val="2"/>
      </rPr>
      <t>CFE-RBTA1.</t>
    </r>
  </si>
  <si>
    <r>
      <t xml:space="preserve">REGISTRO  PARA  MEDIA  TENSIÓN  EN  ARROYO  TIPO  3  NORMA  </t>
    </r>
    <r>
      <rPr>
        <b/>
        <sz val="10"/>
        <rFont val="Verdana"/>
        <family val="2"/>
      </rPr>
      <t>CFE-RMTA3</t>
    </r>
  </si>
  <si>
    <r>
      <t xml:space="preserve">REGISTRO  PARA  MEDIA  TENSIÓN  EN  ARROYO  TIPO  4 NORMA </t>
    </r>
    <r>
      <rPr>
        <b/>
        <sz val="10"/>
        <rFont val="Verdana"/>
        <family val="2"/>
      </rPr>
      <t>CFE-RMTA4</t>
    </r>
  </si>
  <si>
    <r>
      <t xml:space="preserve">POZO DE VISITA PARA MEDIA TENSION TIPO "X" EN ARROYO, NORMA </t>
    </r>
    <r>
      <rPr>
        <b/>
        <sz val="10"/>
        <rFont val="Verdana"/>
        <family val="2"/>
      </rPr>
      <t>CFE-PVMTAX.</t>
    </r>
  </si>
  <si>
    <r>
      <t xml:space="preserve">POZO DE VISITA PARA MEDIA TENSION TIPO "P" EN ARROYO, NORMA </t>
    </r>
    <r>
      <rPr>
        <b/>
        <sz val="10"/>
        <rFont val="Verdana"/>
        <family val="2"/>
      </rPr>
      <t>CFE-PVMTAP</t>
    </r>
  </si>
  <si>
    <r>
      <t xml:space="preserve">POZO DE VISITA PARA MEDIA TENSION TIPO "T" EN ARROYO, NORMA </t>
    </r>
    <r>
      <rPr>
        <b/>
        <sz val="10"/>
        <rFont val="Verdana"/>
        <family val="2"/>
      </rPr>
      <t>CFE-PVMTAT</t>
    </r>
  </si>
  <si>
    <r>
      <t xml:space="preserve">POZO DE VISITA PARA MEDIA TENSION TIPO "L" EN ARROYO, NORMA </t>
    </r>
    <r>
      <rPr>
        <b/>
        <sz val="10"/>
        <rFont val="Verdana"/>
        <family val="2"/>
      </rPr>
      <t>CFE-PVMTAL</t>
    </r>
  </si>
  <si>
    <r>
      <t xml:space="preserve">BASE  PARA  TRANSFORMADOR  PEDESTAL  MONOFÁSICO  CON  REGISTRO  REDUCIDO  TIPO  5  NORMA  </t>
    </r>
    <r>
      <rPr>
        <b/>
        <sz val="10"/>
        <rFont val="Verdana"/>
        <family val="2"/>
      </rPr>
      <t>CFE-BTMRR5</t>
    </r>
  </si>
  <si>
    <r>
      <t xml:space="preserve">BASE  PARA  TRANSFORMADOR  PEDESTAL  MONOFÁSICO  CON  REGISTRO  REDUCIDO  TIPO  6  NORMA  </t>
    </r>
    <r>
      <rPr>
        <b/>
        <sz val="10"/>
        <rFont val="Verdana"/>
        <family val="2"/>
      </rPr>
      <t>CFE-BTMRR6</t>
    </r>
  </si>
  <si>
    <r>
      <t xml:space="preserve">BASE PARA TRANSFORMADOR PEDESTAL MONOFASICO CON REGISTRO  DE MEDIA TENSION TIPO 3, NORMA </t>
    </r>
    <r>
      <rPr>
        <b/>
        <sz val="10"/>
        <rFont val="Verdana"/>
        <family val="2"/>
      </rPr>
      <t xml:space="preserve">CFE-BTMRMTB3 </t>
    </r>
  </si>
  <si>
    <r>
      <t xml:space="preserve">BASE  PARA  TRANSFORMADOR  PEDESTAL  TRIFÁSICO CON  REGISTRO  DE MEDIA TENSION TIPO  4,  NORMA  </t>
    </r>
    <r>
      <rPr>
        <b/>
        <sz val="10"/>
        <rFont val="Verdana"/>
        <family val="2"/>
      </rPr>
      <t>CFE-BTTRMTB4</t>
    </r>
  </si>
  <si>
    <r>
      <t xml:space="preserve">MURETE  Y  REGISTRO  TIPO  4  PARA  DERIVACIÓN  EN  MEDIA  TENSIÓN, NORMA  </t>
    </r>
    <r>
      <rPr>
        <b/>
        <sz val="10"/>
        <rFont val="Verdana"/>
        <family val="2"/>
      </rPr>
      <t>CFE-MDMT6/2</t>
    </r>
  </si>
  <si>
    <r>
      <t xml:space="preserve">MURETE  Y  REGISTRO  TIPO  4  PARA  DERIVACIÓN  EN  MEDIA  TENSIÓN, NORMA  </t>
    </r>
    <r>
      <rPr>
        <b/>
        <sz val="10"/>
        <rFont val="Verdana"/>
        <family val="2"/>
      </rPr>
      <t>CFE-MDMT2/2</t>
    </r>
  </si>
  <si>
    <r>
      <t>BOVEDA PARA TRANSFORMADOR TRIFASICO PREFABRICADO EN BANQUETA DE ACUERDO A LA NORMA CFE-BTTH225B,</t>
    </r>
    <r>
      <rPr>
        <b/>
        <sz val="10"/>
        <rFont val="Verdana"/>
        <family val="2"/>
      </rPr>
      <t xml:space="preserve"> </t>
    </r>
    <r>
      <rPr>
        <sz val="10"/>
        <rFont val="Verdana"/>
        <family val="2"/>
      </rPr>
      <t>(INCLUYE TAPA METALICA ANTIDERRAPANTE),</t>
    </r>
    <r>
      <rPr>
        <sz val="10"/>
        <color indexed="10"/>
        <rFont val="Verdana"/>
        <family val="2"/>
      </rPr>
      <t xml:space="preserve"> NOTA SE DEBERA REFORZAR LA TAPA DE LA BOVEDA PARA QUE CUMPLA CON LA NORMA CFE-BT-300A.</t>
    </r>
  </si>
  <si>
    <t xml:space="preserve">PZA </t>
  </si>
  <si>
    <t xml:space="preserve">Suministro y colocación de Sellador  espuma de poliuretano, secado rapido </t>
  </si>
  <si>
    <t xml:space="preserve">MTS </t>
  </si>
  <si>
    <t xml:space="preserve">Suministro y colocación de materiales miscelaneos </t>
  </si>
  <si>
    <t>Prueba de polaridad  de los cables de corriente continua.</t>
  </si>
  <si>
    <t xml:space="preserve">Suministro y colocación de Materiales miscelaneos </t>
  </si>
  <si>
    <t xml:space="preserve">solem 2 </t>
  </si>
  <si>
    <t xml:space="preserve">cables </t>
  </si>
  <si>
    <t xml:space="preserve">Colocación de cable de cobre desnudo Cal.- 1/0 (53 mm2) </t>
  </si>
  <si>
    <t xml:space="preserve">KG </t>
  </si>
  <si>
    <t xml:space="preserve">Colocación de varilla de tierra  tipo cooperweld de 5/8" (16 mm) de diametro de 3 mts de longitud </t>
  </si>
  <si>
    <t xml:space="preserve">Suministro y Colocación de  molde TAC-2C1T  cable de paso cal.- 2 awg  y cable en derivación cal 1/0 </t>
  </si>
  <si>
    <t xml:space="preserve">Suministro y colocación de molde TAC-2C2C para cable de paso cal.-1/0 awg y cable en derivación cal.-1/0 awg </t>
  </si>
  <si>
    <t xml:space="preserve">Suministro y colocación de carga cadweld no.- 45 </t>
  </si>
  <si>
    <t xml:space="preserve">suministro y colocación de carga cadweld no.-90 </t>
  </si>
  <si>
    <t xml:space="preserve">Suministro de materiales y accesorios para tierra </t>
  </si>
  <si>
    <t xml:space="preserve">Suministro y colocación de molde GTC-162C para cable de paso cal.-1/0 awg a varilla de tierras de 5/8" (16 mm) de diametro </t>
  </si>
  <si>
    <t xml:space="preserve">Suministro y colocación de molde GRC-162C para cable de paso cal.-1/0 awg a varilla de tierras de 5/8" (16 mm) de diametro </t>
  </si>
  <si>
    <t xml:space="preserve">Colocación de cable de cobre desnudo Cal.- 2(33.62 mm2)  awg </t>
  </si>
  <si>
    <t xml:space="preserve">suministro y colocación de zapata termianal de cobre cal.- 2awg </t>
  </si>
  <si>
    <t xml:space="preserve">Suministro y colocación de molde TAC-1V1V para cable principal cal.- 2awg, y derivación cable cal.- 2 awg </t>
  </si>
  <si>
    <t>suministro y colocación de carga cadweld  no.- 45</t>
  </si>
  <si>
    <t xml:space="preserve">suministro y colocación de conector  para cable en paralelo o a 90º en tubo o vallira </t>
  </si>
  <si>
    <t xml:space="preserve">Suministro y colocación  de abrazadera de cobre  cal.- 2 awg </t>
  </si>
  <si>
    <t xml:space="preserve">suministro y colocación de zapata terminal de cobre cal.- 2awg </t>
  </si>
  <si>
    <t xml:space="preserve">COLOCACION DE CABLE DE COBRE DESNUDO  CAL.- 2 AWG </t>
  </si>
  <si>
    <t xml:space="preserve">SISTEMAS PANELES FOTOVOLTAICOS DE 435-455 WATTS POR MODULO </t>
  </si>
  <si>
    <t>MODULOS</t>
  </si>
  <si>
    <t>Suministro e instalacionde de CELDA FOTOVOLTAICA MCA TRINA SOLAR MODELO TSM-DE17M(II) con Rango de potencia 435-455W, 144 LAYOUT 
MONOCRYSTALLINE MODULE, FRAMED 144 LAYOUT MODULE ( anexa fihca tecnica) con el siguiente esquema de instalacion; 18modulo en serie con 12 cadenas en paralelo, segun proyecto, un total de 472 m2, superficie de celular 429m2</t>
  </si>
  <si>
    <t>suministro e instalacion de 2 INVERSORES de 40KW CADA UNO  MODELO SUN2000-(40KTL)-US , MARCA HUAWEI TECHNOLOGIES CO., LTD. 530-580 VCC, INCLUYE LA COLOCACION PUESTA EN MARCHA ASI COMO LA PROGRAMACION Y PRUEBAS DE SERVICIO</t>
  </si>
  <si>
    <t xml:space="preserve">SUMINISTRO E INSTALACION DE CABLE FOTOVOLTAICO PARA LA INTERCONEXION DE LAS CAJAS COMBIADORAS , HACIA LOS INVERSORES  CON CABLE 1/0 </t>
  </si>
  <si>
    <t>suministro y colocacion de juego conectores MC4 CONECTORES PARA CABLES SOLAR # 4 y para ser inteconectados entre cada uno de los paneles ( plug macho y hembra )</t>
  </si>
  <si>
    <t>SER</t>
  </si>
  <si>
    <t xml:space="preserve">SUMINISTRO E INSTALACION DE UNIDAD DE AIRE ACONDICIONADO DE 12000 BTU, QUE DEBERA COLOCARSE EN EL MURETE DE LOS INVERSORES INCLUYE CABLEADO Y CONEXIONES ELECTRICAS, ASI COMO EL INT ENCHUFABLE 2X30 AMP PARA TABLERO I -LINE </t>
  </si>
  <si>
    <t>TOTAL PUESTA A TIERRA. Y PROTECCION CONTRA DESCARGAS ATMOSFERICAS</t>
  </si>
  <si>
    <t xml:space="preserve">FABRICACION Y COLOCACION DE UN SISTEMA DE PARARRAYOS A BASE DE 6 PUNTAS TIPO DIPOLO CORONA DISTRIBUIDOS SEGÚN PLANO ANEXO PARA LA COBERTURA DE LAS CELDAS FOTOVOLTAICAS, DEBERAN IR CONECTADOS CON CABLE TRAMADO DE PARARRAYOS DE 32 HILOS DE COBRE DESNUDO, INCLUYE LA FIJACION Y SUJECION EN LA LOSA DEL EDIFICIO B, SE DEBERA REALIZAR TRES  POZOS DE TIERRA A MANTO FREATICO 15 ML  PROFUNDIDAD, EL LA MALLA  DE PUESTA A TIERRA DEBERA SER DE 3 EXCAVACIONES Y CONECTADOS ENTRE SI EN UN SISTEMA DELTA, LOS POZOS DEBERA SERA RELLENADO CON INTENSIFICADOR DE TERRENO PARA BAJAR A RESISTIVIDAD A MENOS DE 10 OHMS SEGUN NORMAS, LOS BAJANTES A MANTO FREATICO DEBERAN SER CON CABLE DE COBRE DESNUDO CAL 1/0 Y SOLDADO EN SU PARTE INFERIOR UNA VARILLA DE COBRE COPERWELD DE 3 METROS DE LONGITUD LA CUAL QUEDARA AHOGADA Y HUNDIDA EN LOS POZOS, AHORA LLAMADOS ELECTRODOS DE TIERRA INCLUYE LA EXCAVACIONES ENTRE ARISTAS Y RELLENADOS CON TIERRA NEGRA VEGETAL Y REVUELTA CON 15 SACOS DE GEM, SO COLOCARA UNA BARRA DE TIERRA FISICA POR FUERA DEL EDIFICIO EN DONDE QUEDARA CONECTADA LA TIERRA FISICA DE PROTECCION </t>
  </si>
  <si>
    <t>TODOS LOS TABLEROS, ESTRUCTURAS METALICAS DEBERA ESTAR CONECTADOS A ESTA BARRA DE COBRE CON CABLE DE COBRE  FORRADO EN COLOR VERDE CAL 6  EL CUAL PARTIRA DE CADA UNO DE LOS GABITES DE LA CAJAS DE INTERCONEXION</t>
  </si>
  <si>
    <t>TRAMITES ANTE LA CFE</t>
  </si>
  <si>
    <t>suministro e instalacion de Marca MCA _CHNT POWER : CPS CB10~20S 1500V CAJAS COMBINADAS MC4  para la interconexion de los modulos fotovotaicos, con las siguientes caracteristicas tecnicas:
Un disyuntor de alto voltaje de 500 V CC como mínimo, seguro y confiable
Protección SPD de 1500 V en polos positivos y negativos
Módulo de detección opcional para corriente de cadena y tensión de bus con control remoto sistema de comunicación cuando se detecta una falla
Fuente de alimentación directa desde entrada fotovoltaica con protección SPD.
Interfaz de usuario LED para visualización de parámetros y estado de operación en tiempo real, precisa y concisa, conveniente para operación y depuración
Montaje en pared disponible, resistente al agua y al óxido, clase de protección lP65 para uso en exteriores
Conveniente para la instalación y el mantenimiento, debera tener 20 puntos de conexion .</t>
  </si>
  <si>
    <t>Estación meteorológica con sensor de radiación de alta precisión   PVmet-150
Estación meteorológica que cuenta con sensores específicos para las aplicaciones de generación de energía fotovoltaica. Incluye un piranómetro de alta precisión.
* Sensores incluidos:
   - Piranómetro ajustable de alta precisión, configurable para monitoreo global
     o conforme al ángulo del panel fotovoltaico
   - Temperatura del panel fotovoltaico
   - Temperatura ambiente
* Certificado SunSpec 
* Comunicación RS-485 Modbus RTU
* Sensores opcionales:
   - Temperatura del panel fotovoltaico
     (1 adicional, para un total de 2 soportados)
   - Radiación solar (1 adicional)</t>
  </si>
  <si>
    <t>suministro y colocacion de soportes tipo suport Govarri Industries Modelo sistema inclinado; Perfilería portamódulos en aluminio para diversas separaciones entre apoyo,Apoyos atornillables en aluminio,Arriostramiento transversal.Tornillería en acero inoxidable, con Elementos de estanqueidad y sellado (neopreno, EPDITT, taco químico) para la colocacion de 6 modolus fotovoltaicos en linea, incluye sujencion armado, anclaje y el correcto sellado en loza de azotea del edificio B</t>
  </si>
  <si>
    <t xml:space="preserve">Suministro y colocación de cinchos de plastico de 3/4" </t>
  </si>
  <si>
    <t xml:space="preserve">Ensayos de medida de la resistencia de la pantalla de todos los cables de FOTOVOLTAICOS  de la planta. Ensayo Megado entre fases y entre cada fase y tierra. Se entregará informe indicando la medida de la resistencia del aislamiento de la pantalla de los tres cables de la terna. </t>
  </si>
  <si>
    <t>Ensayo de comprobacion de la polaridad de los cables antes del etiquetado y previo a la puesta en marcha cables CC Pruebas de megado y comprobación de polaridad de todos los cables de Corriente Continua entre los paneles, y las cajas de conexión, asi como los inversores</t>
  </si>
  <si>
    <t>Realización de termografías a Paneles Solares una vez puesta en marcha la instalación. Termografías a Paneles Solares una vez puesta en marcha la instalación de acuerdo a los procedimientos establecidos. Entrega de informe con los resultados obtenidos.</t>
  </si>
  <si>
    <t>subtotal</t>
  </si>
  <si>
    <t xml:space="preserve">Tendido de cable de (1x 8 AWG) Aluminio aislamiento mínimo 0,6/1,5kV. Incluyendo identificacion y etiquetado en ambos extremos , sellado con espuma de poliuretano ignifuga. Suministro de espuma, etiquetas,bridas, pequeño material ,todo suministrado por el contratista. cable en tuberia de 1" para la inteconexion a travez de racks o charla para la sujecion correcta del cable que ira interconectado entre los paneles.,  </t>
  </si>
  <si>
    <t xml:space="preserve">FABRICACION DE MURETE A BASE DE CONCRETO DE 2 MTS DE ALTURA POR 3ML DE ANCHO Y 1 ML DE PROFUNDIDAD, A BASE DE  LADRILLO DE 15CMX20CM X40CM Y ACABADO MORTERO, INCLUYE LA FABRICACION DE PUERTA DE ALUMINIO DE 2MLX3 ML, INCLUYE LA PINTURA </t>
  </si>
  <si>
    <t>SUMINISTRO E INSTALACION DE INTERRUTOR DE 3X350 AMP ENCHUFABLE PARA  TABLERO I LINE MCA SQUARE D, INCUYE EL CABLEADO PRINCIPAL DE LOS INVERSORES HACIA EL TABLERO PRINCIPAL</t>
  </si>
  <si>
    <t>CONSTRUCCION DE DUCTERIA DE 2" A BASE DE TUBERIA GALVANIZADA TIPO PESADA PARA CANALIZAR EL CABLE DE LOS SISTEMAS FOTOVOLTAICO HACIA EL MURETE DE LOS INVERSORES, ADEMAS LLEVARA UNA PARTE SUBTERRANEA 15 ML QUE DEBERA ESTAR INDENTIFICADA Y ENCONFRADA EN CEMENTO 250FC Y TODO LO NECESARIO PARA LAS INTECONEXIONES</t>
  </si>
  <si>
    <t xml:space="preserve">Se debera instalar  un sistema  de medicion y monitoreo  para realizar un seguimiento preciso de la producción solar del Proyecto y que la UNIVERSIDAD TECNOLOGICA  DE CANCUN UT. Llevara un control de consumos de suministro la red en KW por lo que se instalara. un watorimetro o medidor unidireccional que cumpla con lo siguiente:  Medidor electrónico, con una pantalla visible.
Tener la capacidad de gestión energética de acuerdo con la capacidad de potencia instalada del sistema fotovoltaico.
Ser compatible con la corriente y el voltaje de la matriz fotovoltaica.
Tener un gabinete de grado IP66 o superior si se coloca al aire libre, tener una conexión
tablero y protección contra descargas eléctricas y puesta a tierra.SSTT NOM 001 SEDE 2012 ART 285
</t>
  </si>
  <si>
    <t xml:space="preserve">INTERCONEXIÓN  Y TRAMITES ANTE LA CFE 
El Contratista será responsable de administrar todo el proceso de interconexión con LA COMISION FEDERAL DE ELECTRICIDAD  (CFE). Para las gestiones reglamentarias y la alta del proyecto administrativo por lo que:
debe cumplir con éxito el contrato de interconexión con CFE Distribution y la  UNIVERSIDAD TECNOLOGICA  DE CANCUN UT 
Debera cumplir con los Los modelos de contrato y los esquemas de compensación que se publican en el Boletín Oficial de la Federación.(https://www.dof.gob.mx/) del 7 de marzo de 2017.
</t>
  </si>
  <si>
    <t xml:space="preserve">Suministro e instalacion de charola de 9" con fondo de aluminio y tapa de alumnio para la coloccion de cable fotovotaico de #12, incluye la fijacion, sujecion soporteria y todo para su correcta colocacion </t>
  </si>
  <si>
    <t xml:space="preserve">PROYECTO SISTEMA   FOTOVOLTAICO
CON CAPACIDAD DE 80KW DE CELDAS FV INSTALADO SOBRE EL EDIFICO “B” EN LA
UNIVERSIDAD TECNOLOGICA DE CANCUN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</si>
</sst>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0.0000"/>
    <numFmt numFmtId="165" formatCode="0.0"/>
  </numFmts>
  <fonts count="2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rgb="FF0070C0"/>
      <name val="Calibri"/>
      <family val="2"/>
      <scheme val="minor"/>
    </font>
    <font>
      <sz val="10"/>
      <name val="Arial"/>
      <family val="2"/>
    </font>
    <font>
      <b/>
      <sz val="10"/>
      <name val="Arial"/>
      <family val="2"/>
    </font>
    <font>
      <sz val="10"/>
      <name val="Verdana"/>
      <family val="2"/>
    </font>
    <font>
      <b/>
      <sz val="10"/>
      <color rgb="FFFF0000"/>
      <name val="Arial"/>
      <family val="2"/>
    </font>
    <font>
      <b/>
      <u/>
      <sz val="11"/>
      <color rgb="FFFF0000"/>
      <name val="Calibri"/>
      <family val="2"/>
      <scheme val="minor"/>
    </font>
    <font>
      <sz val="10"/>
      <color rgb="FF0070C0"/>
      <name val="Verdana"/>
      <family val="2"/>
    </font>
    <font>
      <sz val="10"/>
      <color rgb="FFFF0000"/>
      <name val="Verdana"/>
      <family val="2"/>
    </font>
    <font>
      <sz val="12"/>
      <name val="Verdana"/>
      <family val="2"/>
    </font>
    <font>
      <b/>
      <sz val="10"/>
      <name val="Verdana"/>
      <family val="2"/>
    </font>
    <font>
      <b/>
      <sz val="12"/>
      <name val="Verdana"/>
      <family val="2"/>
    </font>
    <font>
      <b/>
      <sz val="10"/>
      <color theme="3"/>
      <name val="Verdana"/>
      <family val="2"/>
    </font>
    <font>
      <b/>
      <sz val="10"/>
      <color rgb="FF0070C0"/>
      <name val="Verdana"/>
      <family val="2"/>
    </font>
    <font>
      <b/>
      <sz val="10"/>
      <color rgb="FFFF0000"/>
      <name val="Verdana"/>
      <family val="2"/>
    </font>
    <font>
      <sz val="10"/>
      <color indexed="10"/>
      <name val="Verdana"/>
      <family val="2"/>
    </font>
    <font>
      <b/>
      <sz val="12"/>
      <color theme="1"/>
      <name val="Calibri"/>
      <family val="2"/>
      <scheme val="minor"/>
    </font>
    <font>
      <b/>
      <sz val="14"/>
      <color theme="1"/>
      <name val="Arial"/>
      <family val="2"/>
    </font>
    <font>
      <sz val="12"/>
      <color theme="1"/>
      <name val="Arial"/>
      <family val="2"/>
    </font>
    <font>
      <b/>
      <sz val="12"/>
      <color theme="1"/>
      <name val="Arial"/>
      <family val="2"/>
    </font>
  </fonts>
  <fills count="8">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6" tint="0.59999389629810485"/>
        <bgColor indexed="64"/>
      </patternFill>
    </fill>
    <fill>
      <patternFill patternType="solid">
        <fgColor theme="0" tint="-0.149998474074526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55"/>
      </bottom>
      <diagonal/>
    </border>
    <border>
      <left/>
      <right/>
      <top style="thin">
        <color indexed="64"/>
      </top>
      <bottom style="thin">
        <color indexed="55"/>
      </bottom>
      <diagonal/>
    </border>
    <border>
      <left/>
      <right style="thin">
        <color indexed="64"/>
      </right>
      <top style="thin">
        <color indexed="64"/>
      </top>
      <bottom style="thin">
        <color indexed="55"/>
      </bottom>
      <diagonal/>
    </border>
    <border>
      <left/>
      <right/>
      <top style="thin">
        <color indexed="55"/>
      </top>
      <bottom style="thin">
        <color indexed="55"/>
      </bottom>
      <diagonal/>
    </border>
    <border>
      <left/>
      <right style="thin">
        <color indexed="64"/>
      </right>
      <top style="thin">
        <color indexed="55"/>
      </top>
      <bottom style="thin">
        <color indexed="55"/>
      </bottom>
      <diagonal/>
    </border>
    <border>
      <left style="thin">
        <color indexed="64"/>
      </left>
      <right/>
      <top style="thin">
        <color indexed="55"/>
      </top>
      <bottom style="thin">
        <color indexed="64"/>
      </bottom>
      <diagonal/>
    </border>
    <border>
      <left/>
      <right/>
      <top style="thin">
        <color indexed="55"/>
      </top>
      <bottom style="thin">
        <color indexed="64"/>
      </bottom>
      <diagonal/>
    </border>
    <border>
      <left/>
      <right style="thin">
        <color indexed="64"/>
      </right>
      <top style="thin">
        <color indexed="55"/>
      </top>
      <bottom style="thin">
        <color indexed="64"/>
      </bottom>
      <diagonal/>
    </border>
    <border>
      <left style="thin">
        <color indexed="64"/>
      </left>
      <right/>
      <top style="thin">
        <color indexed="23"/>
      </top>
      <bottom style="thin">
        <color indexed="23"/>
      </bottom>
      <diagonal/>
    </border>
    <border>
      <left/>
      <right style="thin">
        <color indexed="64"/>
      </right>
      <top style="thin">
        <color indexed="23"/>
      </top>
      <bottom style="thin">
        <color indexed="23"/>
      </bottom>
      <diagonal/>
    </border>
    <border>
      <left style="thin">
        <color indexed="64"/>
      </left>
      <right style="thin">
        <color indexed="64"/>
      </right>
      <top style="thin">
        <color indexed="23"/>
      </top>
      <bottom style="thin">
        <color indexed="23"/>
      </bottom>
      <diagonal/>
    </border>
    <border>
      <left style="thin">
        <color indexed="64"/>
      </left>
      <right/>
      <top style="thin">
        <color indexed="23"/>
      </top>
      <bottom/>
      <diagonal/>
    </border>
    <border>
      <left style="thin">
        <color indexed="64"/>
      </left>
      <right style="thin">
        <color indexed="64"/>
      </right>
      <top style="thin">
        <color indexed="23"/>
      </top>
      <bottom/>
      <diagonal/>
    </border>
    <border>
      <left style="thin">
        <color indexed="64"/>
      </left>
      <right style="thin">
        <color indexed="64"/>
      </right>
      <top/>
      <bottom style="thin">
        <color indexed="23"/>
      </bottom>
      <diagonal/>
    </border>
    <border>
      <left/>
      <right style="thin">
        <color indexed="64"/>
      </right>
      <top style="thin">
        <color indexed="23"/>
      </top>
      <bottom/>
      <diagonal/>
    </border>
    <border>
      <left style="thin">
        <color indexed="64"/>
      </left>
      <right/>
      <top/>
      <bottom style="thin">
        <color indexed="23"/>
      </bottom>
      <diagonal/>
    </border>
    <border>
      <left/>
      <right style="thin">
        <color indexed="64"/>
      </right>
      <top/>
      <bottom style="thin">
        <color indexed="23"/>
      </bottom>
      <diagonal/>
    </border>
    <border>
      <left/>
      <right/>
      <top style="thin">
        <color indexed="23"/>
      </top>
      <bottom style="thin">
        <color indexed="23"/>
      </bottom>
      <diagonal/>
    </border>
  </borders>
  <cellStyleXfs count="2">
    <xf numFmtId="0" fontId="0" fillId="0" borderId="0"/>
    <xf numFmtId="44" fontId="1" fillId="0" borderId="0" applyFont="0" applyFill="0" applyBorder="0" applyAlignment="0" applyProtection="0"/>
  </cellStyleXfs>
  <cellXfs count="312">
    <xf numFmtId="0" fontId="0" fillId="0" borderId="0" xfId="0"/>
    <xf numFmtId="0" fontId="3" fillId="0" borderId="1" xfId="0" applyFont="1" applyBorder="1" applyAlignment="1">
      <alignment horizontal="center" vertical="center"/>
    </xf>
    <xf numFmtId="0" fontId="0" fillId="0" borderId="1" xfId="0" applyBorder="1" applyAlignment="1">
      <alignment horizontal="justify" vertical="center" wrapText="1"/>
    </xf>
    <xf numFmtId="0" fontId="2" fillId="0" borderId="1" xfId="0" applyFont="1" applyBorder="1" applyAlignment="1">
      <alignment horizontal="center" vertical="center"/>
    </xf>
    <xf numFmtId="0" fontId="4" fillId="0" borderId="1" xfId="0" applyFont="1" applyBorder="1" applyAlignment="1">
      <alignment horizontal="justify" vertical="center" wrapText="1"/>
    </xf>
    <xf numFmtId="0" fontId="4" fillId="0" borderId="1" xfId="0" applyFont="1" applyBorder="1" applyAlignment="1">
      <alignment horizontal="center" vertical="center"/>
    </xf>
    <xf numFmtId="0" fontId="0" fillId="0" borderId="0" xfId="0" applyFill="1"/>
    <xf numFmtId="0" fontId="5" fillId="0" borderId="0" xfId="0" applyFont="1" applyFill="1"/>
    <xf numFmtId="0" fontId="7" fillId="0" borderId="4" xfId="0" applyNumberFormat="1" applyFont="1" applyFill="1" applyBorder="1" applyAlignment="1">
      <alignment horizontal="center" vertical="center"/>
    </xf>
    <xf numFmtId="0" fontId="8"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Border="1" applyAlignment="1">
      <alignment horizontal="center" vertical="center" wrapText="1"/>
    </xf>
    <xf numFmtId="0" fontId="5" fillId="0" borderId="0" xfId="0" applyFont="1" applyBorder="1" applyAlignment="1">
      <alignment horizontal="center" vertical="center" wrapText="1"/>
    </xf>
    <xf numFmtId="0" fontId="0" fillId="0" borderId="0" xfId="0" applyAlignment="1">
      <alignment horizontal="center" vertical="center" wrapText="1"/>
    </xf>
    <xf numFmtId="0" fontId="5" fillId="0" borderId="0" xfId="0" applyFont="1"/>
    <xf numFmtId="0" fontId="6"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0" fillId="4" borderId="1" xfId="0" applyFill="1" applyBorder="1" applyAlignment="1">
      <alignment horizontal="center" vertical="center"/>
    </xf>
    <xf numFmtId="0" fontId="8" fillId="5"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5" fillId="3" borderId="0" xfId="0" applyFont="1" applyFill="1"/>
    <xf numFmtId="0" fontId="5" fillId="0" borderId="0" xfId="0" applyFont="1" applyFill="1" applyAlignment="1">
      <alignment horizontal="left" vertical="center" wrapText="1"/>
    </xf>
    <xf numFmtId="0" fontId="5" fillId="0" borderId="0" xfId="0" applyFont="1" applyFill="1" applyAlignment="1">
      <alignment horizontal="center" vertical="center" wrapText="1"/>
    </xf>
    <xf numFmtId="0" fontId="0" fillId="0" borderId="0" xfId="0" applyFill="1" applyAlignment="1">
      <alignment horizontal="center" vertical="center" wrapText="1"/>
    </xf>
    <xf numFmtId="0" fontId="6"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6" borderId="1" xfId="0" applyFont="1" applyFill="1" applyBorder="1" applyAlignment="1">
      <alignment horizontal="left" vertical="center" wrapText="1"/>
    </xf>
    <xf numFmtId="0" fontId="0" fillId="6" borderId="1" xfId="0" applyFill="1" applyBorder="1" applyAlignment="1">
      <alignment horizontal="center" vertical="center" wrapText="1"/>
    </xf>
    <xf numFmtId="0" fontId="5" fillId="6" borderId="1" xfId="0" applyFont="1" applyFill="1" applyBorder="1" applyAlignment="1">
      <alignment horizontal="center" vertical="center" wrapText="1"/>
    </xf>
    <xf numFmtId="164" fontId="0" fillId="6" borderId="1" xfId="0" applyNumberFormat="1" applyFill="1" applyBorder="1" applyAlignment="1">
      <alignment horizontal="center" vertical="center" wrapText="1"/>
    </xf>
    <xf numFmtId="0" fontId="8" fillId="2"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9" fillId="0" borderId="0" xfId="0" applyFont="1" applyFill="1" applyAlignment="1">
      <alignment horizontal="center" vertical="center"/>
    </xf>
    <xf numFmtId="0" fontId="6" fillId="2" borderId="1" xfId="0" applyFont="1" applyFill="1" applyBorder="1" applyAlignment="1">
      <alignment horizontal="left" vertical="center" wrapText="1"/>
    </xf>
    <xf numFmtId="0" fontId="0" fillId="2" borderId="1" xfId="0" applyFill="1" applyBorder="1" applyAlignment="1">
      <alignment horizontal="center" vertical="center"/>
    </xf>
    <xf numFmtId="0" fontId="0" fillId="6" borderId="1" xfId="0" applyFill="1" applyBorder="1" applyAlignment="1">
      <alignment horizontal="center" vertical="center"/>
    </xf>
    <xf numFmtId="0" fontId="7" fillId="0" borderId="9" xfId="0" applyNumberFormat="1" applyFont="1" applyFill="1" applyBorder="1"/>
    <xf numFmtId="0" fontId="7" fillId="0" borderId="10" xfId="0" applyNumberFormat="1" applyFont="1" applyFill="1" applyBorder="1"/>
    <xf numFmtId="0" fontId="7" fillId="0" borderId="11" xfId="0" applyNumberFormat="1" applyFont="1" applyFill="1" applyBorder="1" applyAlignment="1">
      <alignment horizontal="center"/>
    </xf>
    <xf numFmtId="0" fontId="10" fillId="0" borderId="10" xfId="0" applyNumberFormat="1" applyFont="1" applyFill="1" applyBorder="1"/>
    <xf numFmtId="0" fontId="10" fillId="5" borderId="11" xfId="0" applyNumberFormat="1" applyFont="1" applyFill="1" applyBorder="1" applyAlignment="1">
      <alignment horizontal="center"/>
    </xf>
    <xf numFmtId="0" fontId="10" fillId="0" borderId="0" xfId="0" applyNumberFormat="1" applyFont="1" applyFill="1" applyAlignment="1">
      <alignment horizontal="center" vertical="center"/>
    </xf>
    <xf numFmtId="0" fontId="7" fillId="0" borderId="0" xfId="0" applyNumberFormat="1" applyFont="1" applyFill="1" applyAlignment="1">
      <alignment horizontal="center"/>
    </xf>
    <xf numFmtId="0" fontId="7" fillId="0" borderId="0" xfId="0" applyNumberFormat="1" applyFont="1" applyFill="1"/>
    <xf numFmtId="0" fontId="11" fillId="4" borderId="0" xfId="0" applyNumberFormat="1" applyFont="1" applyFill="1"/>
    <xf numFmtId="0" fontId="7" fillId="5" borderId="0" xfId="0" applyNumberFormat="1" applyFont="1" applyFill="1" applyAlignment="1">
      <alignment horizontal="center" vertical="center"/>
    </xf>
    <xf numFmtId="0" fontId="10" fillId="0" borderId="0" xfId="0" applyNumberFormat="1" applyFont="1" applyFill="1"/>
    <xf numFmtId="0" fontId="7" fillId="5" borderId="0" xfId="0" applyNumberFormat="1" applyFont="1" applyFill="1"/>
    <xf numFmtId="0" fontId="7" fillId="0" borderId="0" xfId="0" applyNumberFormat="1" applyFont="1" applyFill="1" applyAlignment="1">
      <alignment horizontal="center" vertical="center"/>
    </xf>
    <xf numFmtId="0" fontId="11" fillId="0" borderId="0" xfId="0" applyNumberFormat="1" applyFont="1" applyFill="1" applyAlignment="1">
      <alignment horizontal="center" vertical="center"/>
    </xf>
    <xf numFmtId="0" fontId="11" fillId="0" borderId="0" xfId="0" applyNumberFormat="1" applyFont="1" applyFill="1"/>
    <xf numFmtId="0" fontId="10" fillId="5" borderId="0" xfId="0" applyNumberFormat="1" applyFont="1" applyFill="1"/>
    <xf numFmtId="0" fontId="7" fillId="0" borderId="12" xfId="0" applyNumberFormat="1" applyFont="1" applyFill="1" applyBorder="1"/>
    <xf numFmtId="0" fontId="7" fillId="0" borderId="0" xfId="0" applyNumberFormat="1" applyFont="1" applyFill="1" applyBorder="1"/>
    <xf numFmtId="0" fontId="7" fillId="0" borderId="0" xfId="0" applyNumberFormat="1" applyFont="1" applyFill="1" applyBorder="1" applyAlignment="1">
      <alignment vertical="center"/>
    </xf>
    <xf numFmtId="0" fontId="7" fillId="0" borderId="13" xfId="0" applyNumberFormat="1" applyFont="1" applyFill="1" applyBorder="1" applyAlignment="1">
      <alignment vertical="center"/>
    </xf>
    <xf numFmtId="0" fontId="10" fillId="0" borderId="0" xfId="0" applyNumberFormat="1" applyFont="1" applyFill="1" applyBorder="1" applyAlignment="1">
      <alignment horizontal="right" vertical="center"/>
    </xf>
    <xf numFmtId="0" fontId="10" fillId="5" borderId="13" xfId="0" applyNumberFormat="1" applyFont="1" applyFill="1" applyBorder="1" applyAlignment="1">
      <alignment horizontal="center" vertical="center"/>
    </xf>
    <xf numFmtId="0" fontId="7" fillId="0" borderId="0" xfId="0" applyNumberFormat="1" applyFont="1" applyFill="1" applyBorder="1" applyAlignment="1">
      <alignment horizontal="right" vertical="center"/>
    </xf>
    <xf numFmtId="0" fontId="12" fillId="0" borderId="13" xfId="0" applyNumberFormat="1" applyFont="1" applyFill="1" applyBorder="1" applyAlignment="1">
      <alignment horizontal="center"/>
    </xf>
    <xf numFmtId="0" fontId="10" fillId="0" borderId="0" xfId="0" applyNumberFormat="1" applyFont="1" applyFill="1" applyBorder="1" applyAlignment="1">
      <alignment horizontal="right"/>
    </xf>
    <xf numFmtId="0" fontId="10" fillId="5" borderId="13" xfId="0" applyNumberFormat="1" applyFont="1" applyFill="1" applyBorder="1" applyAlignment="1">
      <alignment horizontal="center"/>
    </xf>
    <xf numFmtId="0" fontId="7" fillId="0" borderId="0" xfId="0" applyNumberFormat="1" applyFont="1" applyFill="1" applyBorder="1" applyAlignment="1">
      <alignment horizontal="right"/>
    </xf>
    <xf numFmtId="0" fontId="13" fillId="0" borderId="0" xfId="0" applyNumberFormat="1" applyFont="1" applyFill="1" applyBorder="1" applyAlignment="1">
      <alignment vertical="center"/>
    </xf>
    <xf numFmtId="0" fontId="13" fillId="0" borderId="13" xfId="0" applyNumberFormat="1" applyFont="1" applyFill="1" applyBorder="1" applyAlignment="1">
      <alignment vertical="center"/>
    </xf>
    <xf numFmtId="0" fontId="7" fillId="0" borderId="8" xfId="0" applyNumberFormat="1" applyFont="1" applyFill="1" applyBorder="1"/>
    <xf numFmtId="0" fontId="7" fillId="0" borderId="7" xfId="0" applyNumberFormat="1" applyFont="1" applyFill="1" applyBorder="1"/>
    <xf numFmtId="0" fontId="13" fillId="0" borderId="7" xfId="0" applyNumberFormat="1" applyFont="1" applyFill="1" applyBorder="1" applyAlignment="1">
      <alignment vertical="center"/>
    </xf>
    <xf numFmtId="0" fontId="13" fillId="0" borderId="14" xfId="0" applyNumberFormat="1" applyFont="1" applyFill="1" applyBorder="1" applyAlignment="1">
      <alignment vertical="center"/>
    </xf>
    <xf numFmtId="0" fontId="10" fillId="0" borderId="7" xfId="0" applyNumberFormat="1" applyFont="1" applyFill="1" applyBorder="1" applyAlignment="1">
      <alignment horizontal="center"/>
    </xf>
    <xf numFmtId="0" fontId="10" fillId="5" borderId="14" xfId="0" applyNumberFormat="1" applyFont="1" applyFill="1" applyBorder="1" applyAlignment="1">
      <alignment horizontal="center"/>
    </xf>
    <xf numFmtId="0" fontId="14" fillId="0" borderId="0" xfId="0" applyNumberFormat="1" applyFont="1" applyFill="1" applyBorder="1" applyAlignment="1">
      <alignment horizontal="center" vertical="center"/>
    </xf>
    <xf numFmtId="0" fontId="10" fillId="0" borderId="0" xfId="0" applyNumberFormat="1" applyFont="1" applyFill="1" applyBorder="1" applyAlignment="1">
      <alignment horizontal="center"/>
    </xf>
    <xf numFmtId="0" fontId="10" fillId="5" borderId="0" xfId="0" applyNumberFormat="1" applyFont="1" applyFill="1" applyBorder="1" applyAlignment="1">
      <alignment horizontal="center"/>
    </xf>
    <xf numFmtId="0" fontId="7" fillId="0" borderId="15" xfId="0" applyNumberFormat="1" applyFont="1" applyFill="1" applyBorder="1" applyAlignment="1">
      <alignment vertical="center"/>
    </xf>
    <xf numFmtId="0" fontId="7" fillId="0" borderId="16" xfId="0" applyNumberFormat="1" applyFont="1" applyFill="1" applyBorder="1" applyAlignment="1">
      <alignment vertical="center"/>
    </xf>
    <xf numFmtId="0" fontId="7" fillId="0" borderId="16" xfId="0" applyNumberFormat="1" applyFont="1" applyBorder="1" applyAlignment="1">
      <alignment vertical="center"/>
    </xf>
    <xf numFmtId="0" fontId="7" fillId="0" borderId="17" xfId="0" applyNumberFormat="1" applyFont="1" applyBorder="1" applyAlignment="1">
      <alignment vertical="center"/>
    </xf>
    <xf numFmtId="0" fontId="10" fillId="0" borderId="9" xfId="0" applyNumberFormat="1" applyFont="1" applyFill="1" applyBorder="1" applyAlignment="1">
      <alignment horizontal="right" vertical="center"/>
    </xf>
    <xf numFmtId="0" fontId="10" fillId="5" borderId="11" xfId="0" applyNumberFormat="1" applyFont="1" applyFill="1" applyBorder="1" applyAlignment="1">
      <alignment horizontal="center" vertical="center"/>
    </xf>
    <xf numFmtId="0" fontId="7" fillId="0" borderId="12" xfId="0" applyNumberFormat="1" applyFont="1" applyFill="1" applyBorder="1" applyAlignment="1">
      <alignment horizontal="left" vertical="center"/>
    </xf>
    <xf numFmtId="0" fontId="7" fillId="0" borderId="0" xfId="0" applyNumberFormat="1" applyFont="1" applyFill="1" applyBorder="1" applyAlignment="1">
      <alignment horizontal="left" vertical="center"/>
    </xf>
    <xf numFmtId="0" fontId="7" fillId="0" borderId="18" xfId="0" applyNumberFormat="1" applyFont="1" applyFill="1" applyBorder="1" applyAlignment="1">
      <alignment vertical="center"/>
    </xf>
    <xf numFmtId="0" fontId="7" fillId="0" borderId="19" xfId="0" applyNumberFormat="1" applyFont="1" applyFill="1" applyBorder="1" applyAlignment="1">
      <alignment vertical="center"/>
    </xf>
    <xf numFmtId="0" fontId="10" fillId="0" borderId="12" xfId="0" applyNumberFormat="1" applyFont="1" applyFill="1" applyBorder="1" applyAlignment="1">
      <alignment horizontal="right" vertical="center"/>
    </xf>
    <xf numFmtId="14" fontId="10" fillId="5" borderId="13" xfId="0" applyNumberFormat="1" applyFont="1" applyFill="1" applyBorder="1" applyAlignment="1">
      <alignment horizontal="center" vertical="center"/>
    </xf>
    <xf numFmtId="0" fontId="7" fillId="0" borderId="20" xfId="0" applyNumberFormat="1" applyFont="1" applyFill="1" applyBorder="1" applyAlignment="1">
      <alignment vertical="center"/>
    </xf>
    <xf numFmtId="0" fontId="7" fillId="0" borderId="21" xfId="0" applyNumberFormat="1" applyFont="1" applyFill="1" applyBorder="1" applyAlignment="1">
      <alignment vertical="center"/>
    </xf>
    <xf numFmtId="0" fontId="7" fillId="0" borderId="21" xfId="0" applyNumberFormat="1" applyFont="1" applyBorder="1" applyAlignment="1">
      <alignment vertical="center"/>
    </xf>
    <xf numFmtId="0" fontId="7" fillId="0" borderId="22" xfId="0" applyNumberFormat="1" applyFont="1" applyBorder="1" applyAlignment="1">
      <alignment vertical="center"/>
    </xf>
    <xf numFmtId="0" fontId="7" fillId="0" borderId="4" xfId="0" applyNumberFormat="1" applyFont="1" applyFill="1" applyBorder="1" applyAlignment="1">
      <alignment vertical="center"/>
    </xf>
    <xf numFmtId="0" fontId="7" fillId="0" borderId="5" xfId="0" applyNumberFormat="1" applyFont="1" applyFill="1" applyBorder="1" applyAlignment="1">
      <alignment vertical="center"/>
    </xf>
    <xf numFmtId="0" fontId="7" fillId="0" borderId="1" xfId="0" applyNumberFormat="1" applyFont="1" applyFill="1" applyBorder="1" applyAlignment="1">
      <alignment horizontal="center" vertical="center"/>
    </xf>
    <xf numFmtId="0" fontId="10" fillId="0" borderId="14" xfId="0" applyNumberFormat="1" applyFont="1" applyFill="1" applyBorder="1" applyAlignment="1">
      <alignment horizontal="center" vertical="center"/>
    </xf>
    <xf numFmtId="0" fontId="10" fillId="5" borderId="14"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xf>
    <xf numFmtId="0" fontId="7" fillId="0" borderId="13" xfId="0" applyNumberFormat="1" applyFont="1" applyFill="1" applyBorder="1" applyAlignment="1">
      <alignment horizontal="center" vertical="center"/>
    </xf>
    <xf numFmtId="0" fontId="7" fillId="0" borderId="6" xfId="0" applyNumberFormat="1" applyFont="1" applyFill="1" applyBorder="1" applyAlignment="1">
      <alignment horizontal="center" vertical="center"/>
    </xf>
    <xf numFmtId="0" fontId="10" fillId="0" borderId="13" xfId="0" applyNumberFormat="1" applyFont="1" applyFill="1" applyBorder="1" applyAlignment="1">
      <alignment horizontal="center" vertical="center"/>
    </xf>
    <xf numFmtId="0" fontId="10" fillId="5" borderId="1" xfId="0" applyNumberFormat="1" applyFont="1" applyFill="1" applyBorder="1" applyAlignment="1">
      <alignment horizontal="center" vertical="center"/>
    </xf>
    <xf numFmtId="0" fontId="10" fillId="0" borderId="1" xfId="0" applyNumberFormat="1" applyFont="1" applyFill="1" applyBorder="1" applyAlignment="1">
      <alignment horizontal="center" vertical="center"/>
    </xf>
    <xf numFmtId="0" fontId="10" fillId="4" borderId="1" xfId="0" applyNumberFormat="1" applyFont="1" applyFill="1" applyBorder="1" applyAlignment="1">
      <alignment horizontal="center" vertical="center"/>
    </xf>
    <xf numFmtId="0" fontId="11" fillId="0" borderId="1" xfId="0" applyNumberFormat="1" applyFont="1" applyFill="1" applyBorder="1"/>
    <xf numFmtId="0" fontId="15" fillId="0" borderId="23" xfId="0" applyNumberFormat="1" applyFont="1" applyFill="1" applyBorder="1" applyAlignment="1">
      <alignment vertical="center"/>
    </xf>
    <xf numFmtId="0" fontId="15" fillId="0" borderId="24" xfId="0" applyNumberFormat="1" applyFont="1" applyFill="1" applyBorder="1" applyAlignment="1">
      <alignment vertical="center"/>
    </xf>
    <xf numFmtId="0" fontId="15" fillId="0" borderId="23" xfId="0" applyNumberFormat="1" applyFont="1" applyFill="1" applyBorder="1" applyAlignment="1">
      <alignment horizontal="justify" vertical="center" wrapText="1"/>
    </xf>
    <xf numFmtId="0" fontId="15" fillId="0" borderId="25" xfId="0" applyNumberFormat="1" applyFont="1" applyBorder="1" applyAlignment="1">
      <alignment horizontal="center" vertical="center"/>
    </xf>
    <xf numFmtId="1" fontId="16" fillId="0" borderId="24" xfId="0" applyNumberFormat="1" applyFont="1" applyFill="1" applyBorder="1" applyAlignment="1">
      <alignment horizontal="center" vertical="center"/>
    </xf>
    <xf numFmtId="0" fontId="16" fillId="5" borderId="24" xfId="0" applyNumberFormat="1" applyFont="1" applyFill="1" applyBorder="1" applyAlignment="1">
      <alignment horizontal="center" vertical="center"/>
    </xf>
    <xf numFmtId="0" fontId="16" fillId="0" borderId="3" xfId="0" applyNumberFormat="1" applyFont="1" applyFill="1" applyBorder="1" applyAlignment="1">
      <alignment horizontal="center" vertical="center"/>
    </xf>
    <xf numFmtId="0" fontId="16" fillId="0" borderId="3" xfId="0" applyNumberFormat="1" applyFont="1" applyFill="1" applyBorder="1" applyAlignment="1">
      <alignment vertical="center"/>
    </xf>
    <xf numFmtId="0" fontId="16" fillId="4" borderId="3" xfId="0" applyNumberFormat="1" applyFont="1" applyFill="1" applyBorder="1" applyAlignment="1">
      <alignment horizontal="center" vertical="center"/>
    </xf>
    <xf numFmtId="0" fontId="16" fillId="5" borderId="3" xfId="0" applyNumberFormat="1" applyFont="1" applyFill="1" applyBorder="1" applyAlignment="1">
      <alignment horizontal="center" vertical="center"/>
    </xf>
    <xf numFmtId="1" fontId="16" fillId="0" borderId="13" xfId="0" applyNumberFormat="1" applyFont="1" applyFill="1" applyBorder="1" applyAlignment="1">
      <alignment horizontal="center" vertical="center"/>
    </xf>
    <xf numFmtId="0" fontId="17" fillId="0" borderId="1" xfId="0" applyNumberFormat="1" applyFont="1" applyFill="1" applyBorder="1" applyAlignment="1">
      <alignment vertical="center"/>
    </xf>
    <xf numFmtId="0" fontId="15" fillId="0" borderId="0" xfId="0" applyNumberFormat="1" applyFont="1" applyFill="1" applyAlignment="1">
      <alignment vertical="center"/>
    </xf>
    <xf numFmtId="0" fontId="13" fillId="0" borderId="23" xfId="0" applyNumberFormat="1" applyFont="1" applyFill="1" applyBorder="1" applyAlignment="1">
      <alignment vertical="center"/>
    </xf>
    <xf numFmtId="0" fontId="13" fillId="0" borderId="24" xfId="0" applyNumberFormat="1" applyFont="1" applyFill="1" applyBorder="1" applyAlignment="1">
      <alignment vertical="center"/>
    </xf>
    <xf numFmtId="0" fontId="13" fillId="0" borderId="26" xfId="0" applyNumberFormat="1" applyFont="1" applyFill="1" applyBorder="1" applyAlignment="1">
      <alignment horizontal="justify" vertical="center" wrapText="1"/>
    </xf>
    <xf numFmtId="0" fontId="13" fillId="0" borderId="25" xfId="0" applyNumberFormat="1" applyFont="1" applyFill="1" applyBorder="1" applyAlignment="1">
      <alignment horizontal="center" vertical="center"/>
    </xf>
    <xf numFmtId="1" fontId="16" fillId="0" borderId="0" xfId="0" applyNumberFormat="1" applyFont="1" applyFill="1" applyBorder="1" applyAlignment="1">
      <alignment horizontal="center" vertical="center"/>
    </xf>
    <xf numFmtId="1" fontId="16" fillId="0" borderId="1" xfId="0" applyNumberFormat="1" applyFont="1" applyFill="1" applyBorder="1" applyAlignment="1">
      <alignment horizontal="center" vertical="center"/>
    </xf>
    <xf numFmtId="165" fontId="10" fillId="0" borderId="24" xfId="0" applyNumberFormat="1" applyFont="1" applyFill="1" applyBorder="1" applyAlignment="1">
      <alignment horizontal="center" vertical="center"/>
    </xf>
    <xf numFmtId="1" fontId="10" fillId="5" borderId="24" xfId="0" applyNumberFormat="1" applyFont="1" applyFill="1" applyBorder="1" applyAlignment="1">
      <alignment horizontal="center" vertical="center"/>
    </xf>
    <xf numFmtId="0" fontId="10" fillId="0" borderId="1" xfId="1" applyNumberFormat="1" applyFont="1" applyFill="1" applyBorder="1" applyAlignment="1">
      <alignment horizontal="center" vertical="center"/>
    </xf>
    <xf numFmtId="0" fontId="11" fillId="4" borderId="1" xfId="0" applyNumberFormat="1" applyFont="1" applyFill="1" applyBorder="1" applyAlignment="1">
      <alignment horizontal="center" vertical="center"/>
    </xf>
    <xf numFmtId="0" fontId="7" fillId="0" borderId="23" xfId="0" applyNumberFormat="1" applyFont="1" applyFill="1" applyBorder="1" applyAlignment="1">
      <alignment vertical="top"/>
    </xf>
    <xf numFmtId="0" fontId="7" fillId="0" borderId="24" xfId="0" applyNumberFormat="1" applyFont="1" applyFill="1" applyBorder="1" applyAlignment="1">
      <alignment vertical="top"/>
    </xf>
    <xf numFmtId="0" fontId="7" fillId="0" borderId="23" xfId="0" applyNumberFormat="1" applyFont="1" applyFill="1" applyBorder="1" applyAlignment="1">
      <alignment horizontal="justify" vertical="top" wrapText="1"/>
    </xf>
    <xf numFmtId="0" fontId="7" fillId="0" borderId="25" xfId="0" applyNumberFormat="1" applyFont="1" applyFill="1" applyBorder="1" applyAlignment="1">
      <alignment horizontal="center" vertical="top"/>
    </xf>
    <xf numFmtId="165" fontId="10" fillId="0" borderId="24" xfId="0" applyNumberFormat="1" applyFont="1" applyFill="1" applyBorder="1" applyAlignment="1">
      <alignment horizontal="center" vertical="top"/>
    </xf>
    <xf numFmtId="1" fontId="10" fillId="5" borderId="24" xfId="0" applyNumberFormat="1" applyFont="1" applyFill="1" applyBorder="1" applyAlignment="1">
      <alignment horizontal="center" vertical="top"/>
    </xf>
    <xf numFmtId="0" fontId="11" fillId="5" borderId="1" xfId="0" applyNumberFormat="1" applyFont="1" applyFill="1" applyBorder="1" applyAlignment="1">
      <alignment horizontal="center" vertical="center"/>
    </xf>
    <xf numFmtId="165" fontId="11" fillId="0" borderId="24" xfId="0" applyNumberFormat="1" applyFont="1" applyFill="1" applyBorder="1" applyAlignment="1">
      <alignment horizontal="center" vertical="top"/>
    </xf>
    <xf numFmtId="0" fontId="7" fillId="0" borderId="23" xfId="0" applyNumberFormat="1" applyFont="1" applyFill="1" applyBorder="1" applyAlignment="1">
      <alignment horizontal="justify" vertical="justify" wrapText="1"/>
    </xf>
    <xf numFmtId="0" fontId="10" fillId="0" borderId="1" xfId="0" applyNumberFormat="1" applyFont="1" applyFill="1" applyBorder="1" applyAlignment="1">
      <alignment horizontal="center"/>
    </xf>
    <xf numFmtId="0" fontId="10" fillId="0" borderId="1" xfId="0" applyNumberFormat="1" applyFont="1" applyFill="1" applyBorder="1"/>
    <xf numFmtId="0" fontId="10" fillId="4" borderId="1" xfId="0" applyNumberFormat="1" applyFont="1" applyFill="1" applyBorder="1" applyAlignment="1">
      <alignment horizontal="center"/>
    </xf>
    <xf numFmtId="0" fontId="10" fillId="5" borderId="24" xfId="0" applyNumberFormat="1" applyFont="1" applyFill="1" applyBorder="1" applyAlignment="1">
      <alignment horizontal="center" vertical="center"/>
    </xf>
    <xf numFmtId="0" fontId="11" fillId="0" borderId="1" xfId="0" applyNumberFormat="1" applyFont="1" applyFill="1" applyBorder="1" applyAlignment="1">
      <alignment horizontal="center"/>
    </xf>
    <xf numFmtId="0" fontId="11" fillId="4" borderId="1" xfId="0" applyNumberFormat="1" applyFont="1" applyFill="1" applyBorder="1"/>
    <xf numFmtId="1" fontId="11" fillId="0" borderId="1" xfId="0" applyNumberFormat="1" applyFont="1" applyBorder="1" applyAlignment="1">
      <alignment vertical="center"/>
    </xf>
    <xf numFmtId="0" fontId="11" fillId="0" borderId="1" xfId="0" applyNumberFormat="1" applyFont="1" applyFill="1" applyBorder="1" applyAlignment="1">
      <alignment horizontal="center" vertical="center"/>
    </xf>
    <xf numFmtId="0" fontId="10" fillId="0" borderId="0" xfId="0" applyNumberFormat="1" applyFont="1"/>
    <xf numFmtId="0" fontId="7" fillId="3" borderId="23" xfId="0" applyNumberFormat="1" applyFont="1" applyFill="1" applyBorder="1" applyAlignment="1">
      <alignment horizontal="center" vertical="top"/>
    </xf>
    <xf numFmtId="0" fontId="7" fillId="3" borderId="24" xfId="0" applyNumberFormat="1" applyFont="1" applyFill="1" applyBorder="1" applyAlignment="1">
      <alignment horizontal="center" vertical="top"/>
    </xf>
    <xf numFmtId="0" fontId="7" fillId="3" borderId="23" xfId="0" applyNumberFormat="1" applyFont="1" applyFill="1" applyBorder="1" applyAlignment="1">
      <alignment horizontal="justify" vertical="justify" wrapText="1"/>
    </xf>
    <xf numFmtId="0" fontId="7" fillId="3" borderId="25" xfId="0" applyNumberFormat="1" applyFont="1" applyFill="1" applyBorder="1" applyAlignment="1">
      <alignment horizontal="center" vertical="top"/>
    </xf>
    <xf numFmtId="165" fontId="10" fillId="3" borderId="24" xfId="0" applyNumberFormat="1" applyFont="1" applyFill="1" applyBorder="1" applyAlignment="1">
      <alignment horizontal="center" vertical="top"/>
    </xf>
    <xf numFmtId="0" fontId="10" fillId="3" borderId="24" xfId="0" applyNumberFormat="1" applyFont="1" applyFill="1" applyBorder="1" applyAlignment="1">
      <alignment horizontal="center" vertical="center"/>
    </xf>
    <xf numFmtId="0" fontId="10" fillId="3" borderId="1" xfId="1" applyNumberFormat="1" applyFont="1" applyFill="1" applyBorder="1" applyAlignment="1">
      <alignment horizontal="center" vertical="center"/>
    </xf>
    <xf numFmtId="0" fontId="11" fillId="3" borderId="1" xfId="0" applyNumberFormat="1" applyFont="1" applyFill="1" applyBorder="1" applyAlignment="1">
      <alignment horizontal="center"/>
    </xf>
    <xf numFmtId="0" fontId="11" fillId="3" borderId="1" xfId="0" applyNumberFormat="1" applyFont="1" applyFill="1" applyBorder="1"/>
    <xf numFmtId="0" fontId="10" fillId="3" borderId="1" xfId="0" applyNumberFormat="1" applyFont="1" applyFill="1" applyBorder="1" applyAlignment="1">
      <alignment horizontal="center" vertical="center"/>
    </xf>
    <xf numFmtId="0" fontId="10" fillId="3" borderId="1" xfId="0" applyNumberFormat="1" applyFont="1" applyFill="1" applyBorder="1"/>
    <xf numFmtId="165" fontId="11" fillId="3" borderId="24" xfId="0" applyNumberFormat="1" applyFont="1" applyFill="1" applyBorder="1" applyAlignment="1">
      <alignment horizontal="center" vertical="top"/>
    </xf>
    <xf numFmtId="0" fontId="11" fillId="3" borderId="1" xfId="0" applyNumberFormat="1" applyFont="1" applyFill="1" applyBorder="1" applyAlignment="1">
      <alignment horizontal="center" vertical="center"/>
    </xf>
    <xf numFmtId="0" fontId="11" fillId="3" borderId="0" xfId="0" applyNumberFormat="1" applyFont="1" applyFill="1"/>
    <xf numFmtId="0" fontId="10" fillId="0" borderId="23" xfId="0" applyNumberFormat="1" applyFont="1" applyFill="1" applyBorder="1" applyAlignment="1">
      <alignment horizontal="justify" vertical="justify" wrapText="1"/>
    </xf>
    <xf numFmtId="0" fontId="10" fillId="0" borderId="25" xfId="0" applyNumberFormat="1" applyFont="1" applyFill="1" applyBorder="1" applyAlignment="1">
      <alignment horizontal="center" vertical="top"/>
    </xf>
    <xf numFmtId="165" fontId="10" fillId="5" borderId="24" xfId="0" applyNumberFormat="1" applyFont="1" applyFill="1" applyBorder="1" applyAlignment="1">
      <alignment horizontal="center" vertical="top"/>
    </xf>
    <xf numFmtId="165" fontId="10" fillId="0" borderId="1" xfId="1" applyNumberFormat="1" applyFont="1" applyFill="1" applyBorder="1" applyAlignment="1">
      <alignment horizontal="center" vertical="center"/>
    </xf>
    <xf numFmtId="165" fontId="11" fillId="0" borderId="1" xfId="0" applyNumberFormat="1" applyFont="1" applyFill="1" applyBorder="1" applyAlignment="1">
      <alignment horizontal="center"/>
    </xf>
    <xf numFmtId="0" fontId="7" fillId="2" borderId="23" xfId="0" applyNumberFormat="1" applyFont="1" applyFill="1" applyBorder="1" applyAlignment="1">
      <alignment horizontal="left" vertical="top" wrapText="1"/>
    </xf>
    <xf numFmtId="0" fontId="7" fillId="2" borderId="25" xfId="0" applyNumberFormat="1" applyFont="1" applyFill="1" applyBorder="1" applyAlignment="1">
      <alignment horizontal="center" vertical="top"/>
    </xf>
    <xf numFmtId="165" fontId="10" fillId="2" borderId="24" xfId="0" applyNumberFormat="1" applyFont="1" applyFill="1" applyBorder="1" applyAlignment="1">
      <alignment horizontal="center" vertical="top"/>
    </xf>
    <xf numFmtId="0" fontId="10" fillId="2" borderId="1" xfId="1" applyNumberFormat="1" applyFont="1" applyFill="1" applyBorder="1" applyAlignment="1">
      <alignment horizontal="center" vertical="center"/>
    </xf>
    <xf numFmtId="0" fontId="11" fillId="2" borderId="1" xfId="0" applyNumberFormat="1" applyFont="1" applyFill="1" applyBorder="1" applyAlignment="1">
      <alignment horizontal="center"/>
    </xf>
    <xf numFmtId="0" fontId="10" fillId="2" borderId="1" xfId="0" applyNumberFormat="1" applyFont="1" applyFill="1" applyBorder="1" applyAlignment="1">
      <alignment horizontal="center" vertical="center"/>
    </xf>
    <xf numFmtId="0" fontId="11" fillId="2" borderId="1" xfId="0" applyNumberFormat="1" applyFont="1" applyFill="1" applyBorder="1"/>
    <xf numFmtId="165" fontId="10" fillId="5" borderId="24" xfId="0" applyNumberFormat="1" applyFont="1" applyFill="1" applyBorder="1" applyAlignment="1">
      <alignment horizontal="center" vertical="center"/>
    </xf>
    <xf numFmtId="165" fontId="11" fillId="2" borderId="24" xfId="0" applyNumberFormat="1" applyFont="1" applyFill="1" applyBorder="1" applyAlignment="1">
      <alignment horizontal="center" vertical="top"/>
    </xf>
    <xf numFmtId="0" fontId="10" fillId="2" borderId="1" xfId="0" applyNumberFormat="1" applyFont="1" applyFill="1" applyBorder="1"/>
    <xf numFmtId="0" fontId="10" fillId="2" borderId="0" xfId="0" applyNumberFormat="1" applyFont="1" applyFill="1"/>
    <xf numFmtId="165" fontId="10" fillId="4" borderId="24" xfId="0" applyNumberFormat="1" applyFont="1" applyFill="1" applyBorder="1" applyAlignment="1">
      <alignment horizontal="center" vertical="top"/>
    </xf>
    <xf numFmtId="0" fontId="7" fillId="0" borderId="23" xfId="0" applyNumberFormat="1" applyFont="1" applyFill="1" applyBorder="1" applyAlignment="1">
      <alignment horizontal="justify" vertical="center" wrapText="1"/>
    </xf>
    <xf numFmtId="0" fontId="7" fillId="0" borderId="25" xfId="0" applyNumberFormat="1" applyFont="1" applyFill="1" applyBorder="1" applyAlignment="1">
      <alignment horizontal="center" vertical="center"/>
    </xf>
    <xf numFmtId="165" fontId="10" fillId="0" borderId="1" xfId="0" applyNumberFormat="1" applyFont="1" applyFill="1" applyBorder="1" applyAlignment="1">
      <alignment horizontal="center" vertical="center"/>
    </xf>
    <xf numFmtId="165" fontId="10" fillId="4" borderId="1" xfId="0" applyNumberFormat="1" applyFont="1" applyFill="1" applyBorder="1" applyAlignment="1">
      <alignment horizontal="center" vertical="center"/>
    </xf>
    <xf numFmtId="0" fontId="10" fillId="0" borderId="0" xfId="0" applyNumberFormat="1" applyFont="1" applyFill="1" applyAlignment="1">
      <alignment vertical="center"/>
    </xf>
    <xf numFmtId="165" fontId="10" fillId="0" borderId="24" xfId="0" applyNumberFormat="1" applyFont="1" applyFill="1" applyBorder="1" applyAlignment="1">
      <alignment horizontal="center"/>
    </xf>
    <xf numFmtId="165" fontId="10" fillId="4" borderId="24" xfId="0" applyNumberFormat="1" applyFont="1" applyFill="1" applyBorder="1" applyAlignment="1">
      <alignment horizontal="center"/>
    </xf>
    <xf numFmtId="165" fontId="10" fillId="4" borderId="24" xfId="0" applyNumberFormat="1" applyFont="1" applyFill="1" applyBorder="1" applyAlignment="1">
      <alignment horizontal="center" vertical="center"/>
    </xf>
    <xf numFmtId="0" fontId="10" fillId="0" borderId="1" xfId="1" applyNumberFormat="1" applyFont="1" applyFill="1" applyBorder="1" applyAlignment="1">
      <alignment horizontal="center"/>
    </xf>
    <xf numFmtId="0" fontId="10" fillId="4" borderId="1" xfId="1" applyNumberFormat="1" applyFont="1" applyFill="1" applyBorder="1" applyAlignment="1">
      <alignment horizontal="center"/>
    </xf>
    <xf numFmtId="0" fontId="10" fillId="0" borderId="1" xfId="1" applyNumberFormat="1" applyFont="1" applyFill="1" applyBorder="1" applyAlignment="1">
      <alignment vertical="center"/>
    </xf>
    <xf numFmtId="2" fontId="7" fillId="0" borderId="23" xfId="0" applyNumberFormat="1" applyFont="1" applyFill="1" applyBorder="1" applyAlignment="1">
      <alignment horizontal="left" vertical="top"/>
    </xf>
    <xf numFmtId="0" fontId="11" fillId="0" borderId="23" xfId="0" applyNumberFormat="1" applyFont="1" applyFill="1" applyBorder="1" applyAlignment="1">
      <alignment horizontal="justify" vertical="justify" wrapText="1"/>
    </xf>
    <xf numFmtId="0" fontId="11" fillId="0" borderId="25" xfId="0" applyNumberFormat="1" applyFont="1" applyFill="1" applyBorder="1" applyAlignment="1">
      <alignment horizontal="center" vertical="top"/>
    </xf>
    <xf numFmtId="0" fontId="13" fillId="0" borderId="23" xfId="0" applyNumberFormat="1" applyFont="1" applyFill="1" applyBorder="1" applyAlignment="1">
      <alignment horizontal="justify" vertical="center" wrapText="1"/>
    </xf>
    <xf numFmtId="165" fontId="16" fillId="0" borderId="24" xfId="0" applyNumberFormat="1" applyFont="1" applyFill="1" applyBorder="1" applyAlignment="1">
      <alignment horizontal="center" vertical="center"/>
    </xf>
    <xf numFmtId="0" fontId="16" fillId="0" borderId="1" xfId="1" applyNumberFormat="1" applyFont="1" applyFill="1" applyBorder="1" applyAlignment="1">
      <alignment horizontal="center" vertical="center"/>
    </xf>
    <xf numFmtId="0" fontId="16" fillId="0" borderId="1" xfId="0" applyNumberFormat="1" applyFont="1" applyFill="1" applyBorder="1" applyAlignment="1">
      <alignment horizontal="center" vertical="center"/>
    </xf>
    <xf numFmtId="0" fontId="17" fillId="4" borderId="1" xfId="0" applyNumberFormat="1" applyFont="1" applyFill="1" applyBorder="1" applyAlignment="1">
      <alignment vertical="center"/>
    </xf>
    <xf numFmtId="0" fontId="17" fillId="5" borderId="1" xfId="0" applyNumberFormat="1" applyFont="1" applyFill="1" applyBorder="1" applyAlignment="1">
      <alignment horizontal="center" vertical="center"/>
    </xf>
    <xf numFmtId="0" fontId="16" fillId="0" borderId="1" xfId="0" applyNumberFormat="1" applyFont="1" applyFill="1" applyBorder="1" applyAlignment="1">
      <alignment vertical="center"/>
    </xf>
    <xf numFmtId="0" fontId="17" fillId="0" borderId="1" xfId="0" applyNumberFormat="1" applyFont="1" applyFill="1" applyBorder="1" applyAlignment="1">
      <alignment horizontal="center" vertical="center"/>
    </xf>
    <xf numFmtId="165" fontId="17" fillId="0" borderId="24" xfId="0" applyNumberFormat="1" applyFont="1" applyFill="1" applyBorder="1" applyAlignment="1">
      <alignment horizontal="center" vertical="center"/>
    </xf>
    <xf numFmtId="0" fontId="10" fillId="5" borderId="24" xfId="0" applyNumberFormat="1" applyFont="1" applyFill="1" applyBorder="1" applyAlignment="1">
      <alignment horizontal="center" vertical="top"/>
    </xf>
    <xf numFmtId="0" fontId="7" fillId="0" borderId="0" xfId="0" applyNumberFormat="1" applyFont="1"/>
    <xf numFmtId="1" fontId="10" fillId="0" borderId="24" xfId="0" applyNumberFormat="1" applyFont="1" applyFill="1" applyBorder="1" applyAlignment="1">
      <alignment horizontal="center" vertical="center"/>
    </xf>
    <xf numFmtId="0" fontId="10" fillId="0" borderId="1" xfId="0" applyNumberFormat="1" applyFont="1" applyFill="1" applyBorder="1" applyAlignment="1">
      <alignment vertical="center"/>
    </xf>
    <xf numFmtId="0" fontId="10" fillId="0" borderId="0" xfId="0" applyNumberFormat="1" applyFont="1" applyAlignment="1">
      <alignment vertical="center"/>
    </xf>
    <xf numFmtId="0" fontId="10" fillId="4" borderId="1" xfId="0" applyNumberFormat="1" applyFont="1" applyFill="1" applyBorder="1"/>
    <xf numFmtId="1" fontId="10" fillId="0" borderId="24" xfId="0" applyNumberFormat="1" applyFont="1" applyFill="1" applyBorder="1" applyAlignment="1">
      <alignment horizontal="center" vertical="top"/>
    </xf>
    <xf numFmtId="0" fontId="11" fillId="0" borderId="1" xfId="0" applyNumberFormat="1" applyFont="1" applyFill="1" applyBorder="1" applyAlignment="1">
      <alignment vertical="center"/>
    </xf>
    <xf numFmtId="0" fontId="11" fillId="4" borderId="1" xfId="0" applyNumberFormat="1" applyFont="1" applyFill="1" applyBorder="1" applyAlignment="1">
      <alignment vertical="center"/>
    </xf>
    <xf numFmtId="165" fontId="11" fillId="0" borderId="24" xfId="0" applyNumberFormat="1" applyFont="1" applyFill="1" applyBorder="1" applyAlignment="1">
      <alignment horizontal="center" vertical="center"/>
    </xf>
    <xf numFmtId="0" fontId="7" fillId="0" borderId="25" xfId="0" applyNumberFormat="1" applyFont="1" applyBorder="1" applyAlignment="1">
      <alignment horizontal="center" vertical="top"/>
    </xf>
    <xf numFmtId="0" fontId="7" fillId="0" borderId="1" xfId="0" applyNumberFormat="1" applyFont="1" applyFill="1" applyBorder="1" applyAlignment="1">
      <alignment horizontal="center"/>
    </xf>
    <xf numFmtId="0" fontId="7" fillId="0" borderId="1" xfId="0" applyNumberFormat="1" applyFont="1" applyFill="1" applyBorder="1"/>
    <xf numFmtId="0" fontId="7" fillId="5" borderId="1" xfId="0" applyNumberFormat="1" applyFont="1" applyFill="1" applyBorder="1" applyAlignment="1">
      <alignment horizontal="center" vertical="center"/>
    </xf>
    <xf numFmtId="165" fontId="7" fillId="0" borderId="24" xfId="0" applyNumberFormat="1" applyFont="1" applyFill="1" applyBorder="1" applyAlignment="1">
      <alignment horizontal="center" vertical="top"/>
    </xf>
    <xf numFmtId="0" fontId="10" fillId="5" borderId="0" xfId="0" applyNumberFormat="1" applyFont="1" applyFill="1" applyAlignment="1">
      <alignment horizontal="center"/>
    </xf>
    <xf numFmtId="0" fontId="10" fillId="0" borderId="0" xfId="0" applyNumberFormat="1" applyFont="1" applyFill="1" applyAlignment="1">
      <alignment horizontal="center"/>
    </xf>
    <xf numFmtId="0" fontId="0" fillId="0" borderId="0" xfId="0" applyAlignment="1">
      <alignment horizontal="center" vertical="center"/>
    </xf>
    <xf numFmtId="0" fontId="0" fillId="0" borderId="0" xfId="0" applyFill="1" applyBorder="1"/>
    <xf numFmtId="0" fontId="6" fillId="4" borderId="1" xfId="0" applyFont="1" applyFill="1" applyBorder="1" applyAlignment="1">
      <alignment horizontal="center" vertical="center" wrapText="1"/>
    </xf>
    <xf numFmtId="0" fontId="2" fillId="0" borderId="1" xfId="0" applyFont="1" applyBorder="1" applyAlignment="1">
      <alignment horizontal="justify" vertical="center" wrapText="1"/>
    </xf>
    <xf numFmtId="0" fontId="5" fillId="6"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2" fillId="0" borderId="0" xfId="0" applyFont="1" applyFill="1" applyAlignment="1">
      <alignment horizontal="center" vertical="center"/>
    </xf>
    <xf numFmtId="0" fontId="3" fillId="0" borderId="0" xfId="0" applyFont="1" applyFill="1" applyBorder="1" applyAlignment="1">
      <alignment horizontal="center" vertical="center"/>
    </xf>
    <xf numFmtId="0" fontId="3" fillId="7" borderId="1" xfId="0" applyFont="1" applyFill="1" applyBorder="1" applyAlignment="1">
      <alignment horizontal="center" vertical="center"/>
    </xf>
    <xf numFmtId="0" fontId="0" fillId="7" borderId="1" xfId="0" applyFill="1" applyBorder="1"/>
    <xf numFmtId="0" fontId="21" fillId="0" borderId="1" xfId="0" applyFont="1" applyFill="1" applyBorder="1" applyAlignment="1">
      <alignment horizontal="center" vertical="center"/>
    </xf>
    <xf numFmtId="0" fontId="21" fillId="0" borderId="1" xfId="0" applyFont="1" applyFill="1" applyBorder="1" applyAlignment="1">
      <alignment wrapText="1"/>
    </xf>
    <xf numFmtId="0" fontId="21" fillId="0" borderId="1" xfId="0" applyFont="1" applyFill="1" applyBorder="1"/>
    <xf numFmtId="0" fontId="21" fillId="0" borderId="1" xfId="0" applyFont="1" applyFill="1" applyBorder="1" applyAlignment="1">
      <alignment horizontal="justify" vertical="center" wrapText="1"/>
    </xf>
    <xf numFmtId="1" fontId="21" fillId="0" borderId="1" xfId="0" applyNumberFormat="1" applyFont="1" applyFill="1" applyBorder="1" applyAlignment="1">
      <alignment horizontal="center" vertical="center"/>
    </xf>
    <xf numFmtId="0" fontId="21" fillId="0" borderId="0" xfId="0" applyFont="1" applyFill="1" applyBorder="1" applyAlignment="1">
      <alignment horizontal="center"/>
    </xf>
    <xf numFmtId="0" fontId="21" fillId="0" borderId="0" xfId="0" applyFont="1" applyFill="1"/>
    <xf numFmtId="0" fontId="21" fillId="7" borderId="1" xfId="0" applyFont="1" applyFill="1" applyBorder="1" applyAlignment="1">
      <alignment horizontal="center" vertical="center"/>
    </xf>
    <xf numFmtId="0" fontId="21" fillId="7" borderId="1" xfId="0" applyFont="1" applyFill="1" applyBorder="1"/>
    <xf numFmtId="0" fontId="21" fillId="0" borderId="0" xfId="0" applyFont="1" applyFill="1" applyBorder="1" applyAlignment="1">
      <alignment horizontal="center" vertical="center"/>
    </xf>
    <xf numFmtId="0" fontId="21" fillId="0" borderId="0" xfId="0" applyFont="1" applyFill="1" applyBorder="1" applyAlignment="1">
      <alignment horizontal="justify" vertical="center" wrapText="1"/>
    </xf>
    <xf numFmtId="0" fontId="21" fillId="0" borderId="0" xfId="0" applyFont="1" applyFill="1" applyBorder="1"/>
    <xf numFmtId="0" fontId="21" fillId="0" borderId="2"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1" xfId="0" applyFont="1" applyFill="1" applyBorder="1" applyAlignment="1">
      <alignment horizontal="center" vertical="center" wrapText="1"/>
    </xf>
    <xf numFmtId="0" fontId="19" fillId="7" borderId="1" xfId="0" applyFont="1" applyFill="1" applyBorder="1" applyAlignment="1">
      <alignment horizontal="center" vertical="center"/>
    </xf>
    <xf numFmtId="0" fontId="22" fillId="0" borderId="0" xfId="0" applyFont="1" applyFill="1"/>
    <xf numFmtId="0" fontId="22" fillId="0" borderId="0" xfId="0" applyFont="1" applyFill="1" applyAlignment="1">
      <alignment horizontal="center"/>
    </xf>
    <xf numFmtId="0" fontId="22" fillId="7" borderId="1" xfId="0" applyFont="1" applyFill="1" applyBorder="1" applyAlignment="1">
      <alignment horizontal="center"/>
    </xf>
    <xf numFmtId="0" fontId="21" fillId="0" borderId="1" xfId="0" applyFont="1" applyFill="1" applyBorder="1" applyAlignment="1">
      <alignment horizontal="center"/>
    </xf>
    <xf numFmtId="0" fontId="0" fillId="0" borderId="0" xfId="0" applyAlignment="1">
      <alignment wrapText="1"/>
    </xf>
    <xf numFmtId="0" fontId="21" fillId="0" borderId="0" xfId="0" applyFont="1" applyFill="1" applyAlignment="1">
      <alignment horizontal="center"/>
    </xf>
    <xf numFmtId="0" fontId="21" fillId="0" borderId="1" xfId="0" applyFont="1" applyFill="1" applyBorder="1" applyAlignment="1">
      <alignment horizontal="center"/>
    </xf>
    <xf numFmtId="0" fontId="20" fillId="7" borderId="1" xfId="0" applyFont="1" applyFill="1" applyBorder="1" applyAlignment="1">
      <alignment horizontal="center" vertical="center" wrapText="1"/>
    </xf>
    <xf numFmtId="0" fontId="20" fillId="7" borderId="1" xfId="0" applyFont="1" applyFill="1" applyBorder="1" applyAlignment="1">
      <alignment horizontal="center" vertical="center"/>
    </xf>
    <xf numFmtId="0" fontId="19" fillId="7" borderId="1" xfId="0" applyFont="1" applyFill="1" applyBorder="1" applyAlignment="1">
      <alignment horizontal="center" vertical="center"/>
    </xf>
    <xf numFmtId="0" fontId="19" fillId="7" borderId="1" xfId="0" applyFont="1" applyFill="1" applyBorder="1" applyAlignment="1">
      <alignment horizontal="center" vertical="center" wrapText="1"/>
    </xf>
    <xf numFmtId="0" fontId="19" fillId="7" borderId="2" xfId="0" applyFont="1" applyFill="1" applyBorder="1" applyAlignment="1">
      <alignment horizontal="center" vertical="center"/>
    </xf>
    <xf numFmtId="0" fontId="19" fillId="7" borderId="3" xfId="0" applyFont="1" applyFill="1" applyBorder="1" applyAlignment="1">
      <alignment horizontal="center" vertical="center"/>
    </xf>
    <xf numFmtId="0" fontId="6" fillId="0" borderId="7" xfId="0" applyFont="1" applyBorder="1" applyAlignment="1">
      <alignment horizontal="center"/>
    </xf>
    <xf numFmtId="0" fontId="6"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11" fillId="0" borderId="27" xfId="0" applyNumberFormat="1" applyFont="1" applyFill="1" applyBorder="1" applyAlignment="1">
      <alignment horizontal="center" vertical="center"/>
    </xf>
    <xf numFmtId="0" fontId="11" fillId="0" borderId="28" xfId="0" applyNumberFormat="1" applyFont="1" applyFill="1" applyBorder="1" applyAlignment="1">
      <alignment horizontal="center" vertical="center"/>
    </xf>
    <xf numFmtId="0" fontId="10" fillId="5" borderId="27" xfId="0" applyNumberFormat="1" applyFont="1" applyFill="1" applyBorder="1" applyAlignment="1">
      <alignment horizontal="center" vertical="center"/>
    </xf>
    <xf numFmtId="0" fontId="10" fillId="5" borderId="28" xfId="0" applyNumberFormat="1" applyFont="1" applyFill="1" applyBorder="1" applyAlignment="1">
      <alignment horizontal="center" vertical="center"/>
    </xf>
    <xf numFmtId="0" fontId="11" fillId="4" borderId="27" xfId="0" applyNumberFormat="1" applyFont="1" applyFill="1" applyBorder="1" applyAlignment="1">
      <alignment horizontal="center" vertical="center"/>
    </xf>
    <xf numFmtId="0" fontId="11" fillId="4" borderId="28" xfId="0" applyNumberFormat="1" applyFont="1" applyFill="1" applyBorder="1" applyAlignment="1">
      <alignment horizontal="center" vertical="center"/>
    </xf>
    <xf numFmtId="0" fontId="10" fillId="5" borderId="2" xfId="0" applyNumberFormat="1" applyFont="1" applyFill="1" applyBorder="1" applyAlignment="1">
      <alignment horizontal="center" vertical="center"/>
    </xf>
    <xf numFmtId="0" fontId="10" fillId="5" borderId="3" xfId="0" applyNumberFormat="1" applyFont="1" applyFill="1" applyBorder="1" applyAlignment="1">
      <alignment horizontal="center" vertical="center"/>
    </xf>
    <xf numFmtId="0" fontId="7" fillId="0" borderId="23" xfId="0" applyNumberFormat="1" applyFont="1" applyFill="1" applyBorder="1" applyAlignment="1">
      <alignment horizontal="center" vertical="top"/>
    </xf>
    <xf numFmtId="0" fontId="7" fillId="0" borderId="24" xfId="0" applyNumberFormat="1" applyFont="1" applyFill="1" applyBorder="1" applyAlignment="1">
      <alignment horizontal="center" vertical="top"/>
    </xf>
    <xf numFmtId="0" fontId="7" fillId="0" borderId="27" xfId="0" applyNumberFormat="1" applyFont="1" applyFill="1" applyBorder="1" applyAlignment="1">
      <alignment horizontal="left" vertical="top" wrapText="1"/>
    </xf>
    <xf numFmtId="0" fontId="7" fillId="0" borderId="28" xfId="0" applyNumberFormat="1" applyFont="1" applyFill="1" applyBorder="1" applyAlignment="1">
      <alignment horizontal="left" vertical="top" wrapText="1"/>
    </xf>
    <xf numFmtId="0" fontId="10" fillId="0" borderId="27" xfId="0" applyNumberFormat="1" applyFont="1" applyFill="1" applyBorder="1" applyAlignment="1">
      <alignment horizontal="center" vertical="center"/>
    </xf>
    <xf numFmtId="0" fontId="10" fillId="0" borderId="28" xfId="0" applyNumberFormat="1" applyFont="1" applyFill="1" applyBorder="1" applyAlignment="1">
      <alignment horizontal="center" vertical="center"/>
    </xf>
    <xf numFmtId="165" fontId="10" fillId="0" borderId="27" xfId="0" applyNumberFormat="1" applyFont="1" applyFill="1" applyBorder="1" applyAlignment="1">
      <alignment horizontal="center" vertical="top"/>
    </xf>
    <xf numFmtId="165" fontId="10" fillId="0" borderId="28" xfId="0" applyNumberFormat="1" applyFont="1" applyFill="1" applyBorder="1" applyAlignment="1">
      <alignment horizontal="center" vertical="top"/>
    </xf>
    <xf numFmtId="165" fontId="11" fillId="0" borderId="27" xfId="0" applyNumberFormat="1" applyFont="1" applyFill="1" applyBorder="1" applyAlignment="1">
      <alignment horizontal="center" vertical="top"/>
    </xf>
    <xf numFmtId="165" fontId="11" fillId="0" borderId="28" xfId="0" applyNumberFormat="1" applyFont="1" applyFill="1" applyBorder="1" applyAlignment="1">
      <alignment horizontal="center" vertical="top"/>
    </xf>
    <xf numFmtId="165" fontId="10" fillId="5" borderId="27" xfId="0" applyNumberFormat="1" applyFont="1" applyFill="1" applyBorder="1" applyAlignment="1">
      <alignment horizontal="center" vertical="top"/>
    </xf>
    <xf numFmtId="165" fontId="10" fillId="5" borderId="28" xfId="0" applyNumberFormat="1" applyFont="1" applyFill="1" applyBorder="1" applyAlignment="1">
      <alignment horizontal="center" vertical="top"/>
    </xf>
    <xf numFmtId="165" fontId="11" fillId="4" borderId="27" xfId="0" applyNumberFormat="1" applyFont="1" applyFill="1" applyBorder="1" applyAlignment="1">
      <alignment horizontal="center" vertical="top"/>
    </xf>
    <xf numFmtId="165" fontId="11" fillId="4" borderId="28" xfId="0" applyNumberFormat="1" applyFont="1" applyFill="1" applyBorder="1" applyAlignment="1">
      <alignment horizontal="center" vertical="top"/>
    </xf>
    <xf numFmtId="0" fontId="7" fillId="0" borderId="27" xfId="0" applyNumberFormat="1" applyFont="1" applyFill="1" applyBorder="1" applyAlignment="1">
      <alignment horizontal="center" vertical="justify" wrapText="1"/>
    </xf>
    <xf numFmtId="0" fontId="7" fillId="0" borderId="28" xfId="0" applyNumberFormat="1" applyFont="1" applyFill="1" applyBorder="1" applyAlignment="1">
      <alignment horizontal="center" vertical="justify" wrapText="1"/>
    </xf>
    <xf numFmtId="165" fontId="10" fillId="0" borderId="27" xfId="0" applyNumberFormat="1" applyFont="1" applyFill="1" applyBorder="1" applyAlignment="1">
      <alignment horizontal="center" vertical="center"/>
    </xf>
    <xf numFmtId="165" fontId="10" fillId="0" borderId="28" xfId="0" applyNumberFormat="1" applyFont="1" applyFill="1" applyBorder="1" applyAlignment="1">
      <alignment horizontal="center" vertical="center"/>
    </xf>
    <xf numFmtId="0" fontId="10" fillId="0" borderId="23" xfId="0" applyNumberFormat="1" applyFont="1" applyFill="1" applyBorder="1" applyAlignment="1">
      <alignment horizontal="center" vertical="top"/>
    </xf>
    <xf numFmtId="0" fontId="10" fillId="0" borderId="24" xfId="0" applyNumberFormat="1" applyFont="1" applyFill="1" applyBorder="1" applyAlignment="1">
      <alignment horizontal="center" vertical="top"/>
    </xf>
    <xf numFmtId="2" fontId="7" fillId="0" borderId="23" xfId="0" applyNumberFormat="1" applyFont="1" applyFill="1" applyBorder="1" applyAlignment="1">
      <alignment horizontal="center" vertical="top"/>
    </xf>
    <xf numFmtId="2" fontId="7" fillId="0" borderId="24" xfId="0" applyNumberFormat="1" applyFont="1" applyFill="1" applyBorder="1" applyAlignment="1">
      <alignment horizontal="center" vertical="top"/>
    </xf>
    <xf numFmtId="0" fontId="7" fillId="2" borderId="23" xfId="0" applyNumberFormat="1" applyFont="1" applyFill="1" applyBorder="1" applyAlignment="1">
      <alignment horizontal="center" vertical="top"/>
    </xf>
    <xf numFmtId="0" fontId="7" fillId="2" borderId="24" xfId="0" applyNumberFormat="1" applyFont="1" applyFill="1" applyBorder="1" applyAlignment="1">
      <alignment horizontal="center" vertical="top"/>
    </xf>
    <xf numFmtId="0" fontId="10" fillId="0" borderId="26" xfId="0" applyNumberFormat="1" applyFont="1" applyFill="1" applyBorder="1" applyAlignment="1">
      <alignment horizontal="center" vertical="center"/>
    </xf>
    <xf numFmtId="0" fontId="10" fillId="0" borderId="29" xfId="0" applyNumberFormat="1" applyFont="1" applyFill="1" applyBorder="1" applyAlignment="1">
      <alignment horizontal="center" vertical="center"/>
    </xf>
    <xf numFmtId="0" fontId="10" fillId="0" borderId="12" xfId="0" applyNumberFormat="1" applyFont="1" applyFill="1" applyBorder="1" applyAlignment="1">
      <alignment horizontal="center" vertical="center"/>
    </xf>
    <xf numFmtId="0" fontId="10" fillId="0" borderId="13" xfId="0" applyNumberFormat="1" applyFont="1" applyFill="1" applyBorder="1" applyAlignment="1">
      <alignment horizontal="center" vertical="center"/>
    </xf>
    <xf numFmtId="0" fontId="10" fillId="0" borderId="30" xfId="0" applyNumberFormat="1" applyFont="1" applyFill="1" applyBorder="1" applyAlignment="1">
      <alignment horizontal="center" vertical="center"/>
    </xf>
    <xf numFmtId="0" fontId="10" fillId="0" borderId="31" xfId="0" applyNumberFormat="1" applyFont="1" applyFill="1" applyBorder="1" applyAlignment="1">
      <alignment horizontal="center" vertical="center"/>
    </xf>
    <xf numFmtId="2" fontId="7" fillId="0" borderId="23" xfId="0" applyNumberFormat="1" applyFont="1" applyFill="1" applyBorder="1" applyAlignment="1">
      <alignment horizontal="center" vertical="center"/>
    </xf>
    <xf numFmtId="2" fontId="7" fillId="0" borderId="24" xfId="0" applyNumberFormat="1" applyFont="1" applyFill="1" applyBorder="1" applyAlignment="1">
      <alignment horizontal="center" vertical="center"/>
    </xf>
    <xf numFmtId="0" fontId="13" fillId="0" borderId="23" xfId="0" applyNumberFormat="1" applyFont="1" applyFill="1" applyBorder="1" applyAlignment="1">
      <alignment horizontal="center" vertical="center"/>
    </xf>
    <xf numFmtId="0" fontId="13" fillId="0" borderId="24" xfId="0" applyNumberFormat="1" applyFont="1" applyFill="1" applyBorder="1" applyAlignment="1">
      <alignment horizontal="center" vertical="center"/>
    </xf>
    <xf numFmtId="0" fontId="7" fillId="0" borderId="32" xfId="0" applyNumberFormat="1" applyFont="1" applyFill="1" applyBorder="1" applyAlignment="1">
      <alignment horizontal="center"/>
    </xf>
    <xf numFmtId="0" fontId="7" fillId="0" borderId="24" xfId="0" applyNumberFormat="1" applyFont="1" applyFill="1" applyBorder="1" applyAlignment="1">
      <alignment horizontal="center"/>
    </xf>
    <xf numFmtId="2" fontId="11" fillId="0" borderId="23" xfId="0" applyNumberFormat="1" applyFont="1" applyFill="1" applyBorder="1" applyAlignment="1">
      <alignment horizontal="center" vertical="top"/>
    </xf>
    <xf numFmtId="2" fontId="11" fillId="0" borderId="24" xfId="0" applyNumberFormat="1" applyFont="1" applyFill="1" applyBorder="1" applyAlignment="1">
      <alignment horizontal="center" vertical="top"/>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152400</xdr:rowOff>
    </xdr:from>
    <xdr:to>
      <xdr:col>2</xdr:col>
      <xdr:colOff>885825</xdr:colOff>
      <xdr:row>4</xdr:row>
      <xdr:rowOff>57150</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152400"/>
          <a:ext cx="15716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978923</xdr:colOff>
      <xdr:row>0</xdr:row>
      <xdr:rowOff>0</xdr:rowOff>
    </xdr:from>
    <xdr:to>
      <xdr:col>2</xdr:col>
      <xdr:colOff>979715</xdr:colOff>
      <xdr:row>4</xdr:row>
      <xdr:rowOff>191295</xdr:rowOff>
    </xdr:to>
    <xdr:cxnSp macro="">
      <xdr:nvCxnSpPr>
        <xdr:cNvPr id="3" name="2 Conector recto">
          <a:extLst>
            <a:ext uri="{FF2B5EF4-FFF2-40B4-BE49-F238E27FC236}">
              <a16:creationId xmlns:a16="http://schemas.microsoft.com/office/drawing/2014/main" id="{00000000-0008-0000-0300-000003000000}"/>
            </a:ext>
          </a:extLst>
        </xdr:cNvPr>
        <xdr:cNvCxnSpPr/>
      </xdr:nvCxnSpPr>
      <xdr:spPr>
        <a:xfrm rot="5400000" flipH="1" flipV="1">
          <a:off x="1302771" y="495302"/>
          <a:ext cx="991395" cy="79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tabSelected="1" view="pageBreakPreview" zoomScale="87" zoomScaleNormal="87" zoomScaleSheetLayoutView="87" workbookViewId="0">
      <selection activeCell="D6" sqref="D6"/>
    </sheetView>
  </sheetViews>
  <sheetFormatPr baseColWidth="10" defaultRowHeight="15" x14ac:dyDescent="0.25"/>
  <cols>
    <col min="1" max="1" width="8.28515625" style="6" bestFit="1" customWidth="1"/>
    <col min="2" max="2" width="74.5703125" style="6" customWidth="1"/>
    <col min="3" max="3" width="11.42578125" style="6"/>
    <col min="4" max="4" width="23" style="6" customWidth="1"/>
    <col min="5" max="5" width="19" style="6" bestFit="1" customWidth="1"/>
    <col min="6" max="6" width="11.42578125" style="6"/>
    <col min="7" max="7" width="23" customWidth="1"/>
    <col min="8" max="8" width="66.42578125" customWidth="1"/>
  </cols>
  <sheetData>
    <row r="1" spans="1:8" ht="69.75" customHeight="1" x14ac:dyDescent="0.25">
      <c r="A1" s="253" t="s">
        <v>293</v>
      </c>
      <c r="B1" s="254"/>
      <c r="C1" s="254"/>
      <c r="D1" s="254"/>
      <c r="E1" s="254"/>
      <c r="F1" s="254"/>
    </row>
    <row r="2" spans="1:8" ht="15.75" x14ac:dyDescent="0.25">
      <c r="A2" s="257" t="s">
        <v>0</v>
      </c>
      <c r="B2" s="257" t="s">
        <v>1</v>
      </c>
      <c r="C2" s="255" t="s">
        <v>2</v>
      </c>
      <c r="D2" s="255"/>
      <c r="E2" s="256" t="s">
        <v>5</v>
      </c>
      <c r="F2" s="255" t="s">
        <v>6</v>
      </c>
    </row>
    <row r="3" spans="1:8" ht="15.75" x14ac:dyDescent="0.25">
      <c r="A3" s="258"/>
      <c r="B3" s="258"/>
      <c r="C3" s="245" t="s">
        <v>3</v>
      </c>
      <c r="D3" s="245" t="s">
        <v>4</v>
      </c>
      <c r="E3" s="256"/>
      <c r="F3" s="255"/>
    </row>
    <row r="4" spans="1:8" x14ac:dyDescent="0.25">
      <c r="A4" s="227"/>
      <c r="B4" s="219"/>
      <c r="C4" s="219"/>
      <c r="D4" s="219"/>
      <c r="E4" s="219"/>
      <c r="F4" s="219"/>
    </row>
    <row r="5" spans="1:8" ht="15.75" x14ac:dyDescent="0.25">
      <c r="A5" s="228"/>
      <c r="B5" s="248" t="s">
        <v>266</v>
      </c>
      <c r="C5" s="229"/>
      <c r="D5" s="229"/>
      <c r="E5" s="229"/>
      <c r="F5" s="229"/>
    </row>
    <row r="6" spans="1:8" ht="105.75" x14ac:dyDescent="0.25">
      <c r="A6" s="230">
        <v>1</v>
      </c>
      <c r="B6" s="231" t="s">
        <v>268</v>
      </c>
      <c r="C6" s="230" t="s">
        <v>267</v>
      </c>
      <c r="D6" s="230">
        <v>216</v>
      </c>
      <c r="E6" s="232"/>
      <c r="F6" s="232"/>
      <c r="H6" s="250"/>
    </row>
    <row r="7" spans="1:8" ht="105" x14ac:dyDescent="0.25">
      <c r="A7" s="230">
        <v>2</v>
      </c>
      <c r="B7" s="233" t="s">
        <v>286</v>
      </c>
      <c r="C7" s="230" t="s">
        <v>7</v>
      </c>
      <c r="D7" s="230">
        <v>2000</v>
      </c>
      <c r="E7" s="232"/>
      <c r="F7" s="232"/>
    </row>
    <row r="8" spans="1:8" ht="45" x14ac:dyDescent="0.25">
      <c r="A8" s="230"/>
      <c r="B8" s="233" t="s">
        <v>292</v>
      </c>
      <c r="C8" s="230" t="s">
        <v>7</v>
      </c>
      <c r="D8" s="230">
        <v>150</v>
      </c>
      <c r="E8" s="232"/>
      <c r="F8" s="232"/>
    </row>
    <row r="9" spans="1:8" ht="45" x14ac:dyDescent="0.25">
      <c r="A9" s="230">
        <v>3</v>
      </c>
      <c r="B9" s="233" t="s">
        <v>271</v>
      </c>
      <c r="C9" s="230" t="s">
        <v>9</v>
      </c>
      <c r="D9" s="230">
        <v>600</v>
      </c>
      <c r="E9" s="232"/>
      <c r="F9" s="232"/>
    </row>
    <row r="10" spans="1:8" ht="105" x14ac:dyDescent="0.25">
      <c r="A10" s="230">
        <v>4</v>
      </c>
      <c r="B10" s="233" t="s">
        <v>280</v>
      </c>
      <c r="C10" s="230" t="s">
        <v>267</v>
      </c>
      <c r="D10" s="230">
        <v>40</v>
      </c>
      <c r="E10" s="232"/>
      <c r="F10" s="232"/>
    </row>
    <row r="11" spans="1:8" ht="270" x14ac:dyDescent="0.25">
      <c r="A11" s="230">
        <v>5</v>
      </c>
      <c r="B11" s="233" t="s">
        <v>278</v>
      </c>
      <c r="C11" s="230" t="s">
        <v>267</v>
      </c>
      <c r="D11" s="230">
        <v>4</v>
      </c>
      <c r="E11" s="232"/>
      <c r="F11" s="232"/>
    </row>
    <row r="12" spans="1:8" ht="75" x14ac:dyDescent="0.25">
      <c r="A12" s="230">
        <v>6</v>
      </c>
      <c r="B12" s="233" t="s">
        <v>269</v>
      </c>
      <c r="C12" s="230" t="s">
        <v>267</v>
      </c>
      <c r="D12" s="230">
        <v>2</v>
      </c>
      <c r="E12" s="232"/>
      <c r="F12" s="232"/>
      <c r="G12" s="218"/>
    </row>
    <row r="13" spans="1:8" ht="45" x14ac:dyDescent="0.25">
      <c r="A13" s="230">
        <v>7</v>
      </c>
      <c r="B13" s="233" t="s">
        <v>270</v>
      </c>
      <c r="C13" s="230" t="s">
        <v>242</v>
      </c>
      <c r="D13" s="230">
        <v>400</v>
      </c>
      <c r="E13" s="232"/>
      <c r="F13" s="232"/>
    </row>
    <row r="14" spans="1:8" ht="75" x14ac:dyDescent="0.25">
      <c r="A14" s="230">
        <v>8</v>
      </c>
      <c r="B14" s="233" t="s">
        <v>287</v>
      </c>
      <c r="C14" s="230" t="s">
        <v>14</v>
      </c>
      <c r="D14" s="234">
        <v>1</v>
      </c>
      <c r="E14" s="232"/>
      <c r="F14" s="232"/>
    </row>
    <row r="15" spans="1:8" ht="60" x14ac:dyDescent="0.25">
      <c r="A15" s="230">
        <v>9</v>
      </c>
      <c r="B15" s="233" t="s">
        <v>288</v>
      </c>
      <c r="C15" s="230" t="s">
        <v>272</v>
      </c>
      <c r="D15" s="234">
        <v>1</v>
      </c>
      <c r="E15" s="232"/>
      <c r="F15" s="232"/>
    </row>
    <row r="16" spans="1:8" ht="105" customHeight="1" x14ac:dyDescent="0.25">
      <c r="A16" s="230">
        <v>10</v>
      </c>
      <c r="B16" s="233" t="s">
        <v>289</v>
      </c>
      <c r="C16" s="230" t="s">
        <v>7</v>
      </c>
      <c r="D16" s="234">
        <v>65</v>
      </c>
      <c r="E16" s="232"/>
      <c r="F16" s="232"/>
    </row>
    <row r="17" spans="1:6" ht="75" x14ac:dyDescent="0.25">
      <c r="A17" s="230">
        <v>11</v>
      </c>
      <c r="B17" s="233" t="s">
        <v>273</v>
      </c>
      <c r="C17" s="230" t="s">
        <v>272</v>
      </c>
      <c r="D17" s="234">
        <v>1</v>
      </c>
      <c r="E17" s="232"/>
      <c r="F17" s="232"/>
    </row>
    <row r="18" spans="1:6" ht="15.75" x14ac:dyDescent="0.25">
      <c r="A18" s="230">
        <v>12</v>
      </c>
      <c r="B18" s="233" t="s">
        <v>8</v>
      </c>
      <c r="C18" s="230" t="s">
        <v>272</v>
      </c>
      <c r="D18" s="234">
        <v>1</v>
      </c>
      <c r="E18" s="232"/>
      <c r="F18" s="232"/>
    </row>
    <row r="19" spans="1:6" ht="30" x14ac:dyDescent="0.25">
      <c r="A19" s="230">
        <v>13</v>
      </c>
      <c r="B19" s="233" t="s">
        <v>241</v>
      </c>
      <c r="C19" s="230" t="s">
        <v>272</v>
      </c>
      <c r="D19" s="234">
        <v>1</v>
      </c>
      <c r="E19" s="232"/>
      <c r="F19" s="232"/>
    </row>
    <row r="20" spans="1:6" ht="15.75" x14ac:dyDescent="0.25">
      <c r="A20" s="230">
        <v>14</v>
      </c>
      <c r="B20" s="232" t="s">
        <v>12</v>
      </c>
      <c r="C20" s="230" t="s">
        <v>272</v>
      </c>
      <c r="D20" s="234">
        <v>1</v>
      </c>
      <c r="E20" s="232"/>
      <c r="F20" s="232"/>
    </row>
    <row r="21" spans="1:6" ht="15.75" x14ac:dyDescent="0.25">
      <c r="A21" s="230">
        <v>15</v>
      </c>
      <c r="B21" s="233" t="s">
        <v>281</v>
      </c>
      <c r="C21" s="230" t="s">
        <v>272</v>
      </c>
      <c r="D21" s="234">
        <v>1</v>
      </c>
      <c r="E21" s="232"/>
      <c r="F21" s="232"/>
    </row>
    <row r="22" spans="1:6" ht="15.75" x14ac:dyDescent="0.25">
      <c r="A22" s="230">
        <v>16</v>
      </c>
      <c r="B22" s="233" t="s">
        <v>245</v>
      </c>
      <c r="C22" s="230" t="s">
        <v>272</v>
      </c>
      <c r="D22" s="234">
        <v>1</v>
      </c>
      <c r="E22" s="232"/>
      <c r="F22" s="232"/>
    </row>
    <row r="23" spans="1:6" ht="15.75" x14ac:dyDescent="0.25">
      <c r="A23" s="252"/>
      <c r="B23" s="252"/>
      <c r="C23" s="252"/>
      <c r="D23" s="252"/>
      <c r="E23" s="252"/>
      <c r="F23" s="252"/>
    </row>
    <row r="24" spans="1:6" ht="15.75" x14ac:dyDescent="0.25">
      <c r="A24" s="235"/>
      <c r="B24" s="235"/>
      <c r="C24" s="235"/>
      <c r="D24" s="235"/>
      <c r="E24" s="235" t="s">
        <v>285</v>
      </c>
      <c r="F24" s="235"/>
    </row>
    <row r="25" spans="1:6" ht="15.75" x14ac:dyDescent="0.25">
      <c r="A25" s="252"/>
      <c r="B25" s="252"/>
      <c r="C25" s="252"/>
      <c r="D25" s="252"/>
      <c r="E25" s="252"/>
      <c r="F25" s="252"/>
    </row>
    <row r="26" spans="1:6" ht="15.75" x14ac:dyDescent="0.25">
      <c r="A26" s="236"/>
      <c r="B26" s="236"/>
      <c r="C26" s="236"/>
      <c r="D26" s="236"/>
      <c r="E26" s="236"/>
      <c r="F26" s="236"/>
    </row>
    <row r="27" spans="1:6" ht="15.75" x14ac:dyDescent="0.25">
      <c r="A27" s="237"/>
      <c r="B27" s="238" t="s">
        <v>83</v>
      </c>
      <c r="C27" s="238"/>
      <c r="D27" s="238"/>
      <c r="E27" s="238"/>
      <c r="F27" s="238"/>
    </row>
    <row r="28" spans="1:6" ht="62.1" customHeight="1" x14ac:dyDescent="0.25">
      <c r="A28" s="230">
        <v>17</v>
      </c>
      <c r="B28" s="233" t="s">
        <v>282</v>
      </c>
      <c r="C28" s="230" t="s">
        <v>272</v>
      </c>
      <c r="D28" s="230">
        <v>1</v>
      </c>
      <c r="E28" s="232"/>
      <c r="F28" s="232"/>
    </row>
    <row r="29" spans="1:6" ht="15.75" x14ac:dyDescent="0.25">
      <c r="A29" s="230"/>
      <c r="B29" s="233"/>
      <c r="C29" s="230"/>
      <c r="D29" s="230"/>
      <c r="E29" s="232"/>
      <c r="F29" s="232"/>
    </row>
    <row r="30" spans="1:6" ht="75" x14ac:dyDescent="0.25">
      <c r="A30" s="230">
        <v>18</v>
      </c>
      <c r="B30" s="233" t="s">
        <v>283</v>
      </c>
      <c r="C30" s="230" t="s">
        <v>10</v>
      </c>
      <c r="D30" s="230">
        <v>1</v>
      </c>
      <c r="E30" s="232"/>
      <c r="F30" s="232"/>
    </row>
    <row r="31" spans="1:6" ht="15.75" x14ac:dyDescent="0.25">
      <c r="A31" s="230">
        <v>19</v>
      </c>
      <c r="B31" s="233" t="s">
        <v>244</v>
      </c>
      <c r="C31" s="230" t="s">
        <v>10</v>
      </c>
      <c r="D31" s="230">
        <v>1</v>
      </c>
      <c r="E31" s="232"/>
      <c r="F31" s="232"/>
    </row>
    <row r="32" spans="1:6" ht="15.75" x14ac:dyDescent="0.25">
      <c r="A32" s="230"/>
      <c r="B32" s="233"/>
      <c r="C32" s="230"/>
      <c r="D32" s="230"/>
      <c r="E32" s="232"/>
      <c r="F32" s="232"/>
    </row>
    <row r="33" spans="1:7" ht="60" x14ac:dyDescent="0.25">
      <c r="A33" s="230">
        <v>20</v>
      </c>
      <c r="B33" s="233" t="s">
        <v>284</v>
      </c>
      <c r="C33" s="230" t="s">
        <v>272</v>
      </c>
      <c r="D33" s="230">
        <v>1</v>
      </c>
      <c r="E33" s="232"/>
      <c r="F33" s="232"/>
    </row>
    <row r="34" spans="1:7" ht="15.75" x14ac:dyDescent="0.25">
      <c r="A34" s="230"/>
      <c r="B34" s="233"/>
      <c r="C34" s="230"/>
      <c r="D34" s="230"/>
      <c r="E34" s="232"/>
      <c r="F34" s="232"/>
    </row>
    <row r="35" spans="1:7" ht="15.75" x14ac:dyDescent="0.25">
      <c r="A35" s="230"/>
      <c r="B35" s="233"/>
      <c r="C35" s="230"/>
      <c r="D35" s="230"/>
      <c r="E35" s="249" t="s">
        <v>285</v>
      </c>
      <c r="F35" s="232"/>
    </row>
    <row r="36" spans="1:7" ht="15.75" x14ac:dyDescent="0.25">
      <c r="A36" s="239"/>
      <c r="B36" s="240"/>
      <c r="C36" s="239"/>
      <c r="D36" s="239"/>
      <c r="E36" s="241"/>
      <c r="F36" s="241"/>
    </row>
    <row r="37" spans="1:7" ht="15.75" x14ac:dyDescent="0.25">
      <c r="A37" s="252"/>
      <c r="B37" s="252"/>
      <c r="C37" s="252"/>
      <c r="D37" s="252"/>
      <c r="E37" s="252"/>
      <c r="F37" s="252"/>
    </row>
    <row r="38" spans="1:7" ht="15.75" x14ac:dyDescent="0.25">
      <c r="A38" s="236"/>
      <c r="B38" s="246" t="s">
        <v>274</v>
      </c>
      <c r="C38" s="236"/>
      <c r="D38" s="236"/>
      <c r="E38" s="236"/>
      <c r="F38" s="236"/>
    </row>
    <row r="39" spans="1:7" ht="15.75" x14ac:dyDescent="0.25">
      <c r="A39" s="251"/>
      <c r="B39" s="251"/>
      <c r="C39" s="251"/>
      <c r="D39" s="251"/>
      <c r="E39" s="251"/>
      <c r="F39" s="251"/>
    </row>
    <row r="40" spans="1:7" ht="15.75" x14ac:dyDescent="0.25">
      <c r="A40" s="237"/>
      <c r="B40" s="238"/>
      <c r="C40" s="238"/>
      <c r="D40" s="238"/>
      <c r="E40" s="238"/>
      <c r="F40" s="238"/>
    </row>
    <row r="41" spans="1:7" ht="210.75" customHeight="1" x14ac:dyDescent="0.25">
      <c r="A41" s="230">
        <v>22</v>
      </c>
      <c r="B41" s="233" t="s">
        <v>275</v>
      </c>
      <c r="C41" s="230" t="s">
        <v>133</v>
      </c>
      <c r="D41" s="230">
        <v>1</v>
      </c>
      <c r="E41" s="232"/>
      <c r="F41" s="232"/>
    </row>
    <row r="42" spans="1:7" ht="75" x14ac:dyDescent="0.25">
      <c r="A42" s="242">
        <v>23</v>
      </c>
      <c r="B42" s="243" t="s">
        <v>276</v>
      </c>
      <c r="C42" s="244" t="s">
        <v>133</v>
      </c>
      <c r="D42" s="244">
        <v>1</v>
      </c>
      <c r="E42" s="232"/>
      <c r="F42" s="232"/>
      <c r="G42" s="226"/>
    </row>
    <row r="43" spans="1:7" ht="15.75" x14ac:dyDescent="0.25">
      <c r="A43" s="242"/>
      <c r="B43" s="243"/>
      <c r="C43" s="244"/>
      <c r="D43" s="244"/>
      <c r="E43" s="249" t="s">
        <v>285</v>
      </c>
      <c r="F43" s="232"/>
    </row>
    <row r="44" spans="1:7" ht="15.75" x14ac:dyDescent="0.25">
      <c r="A44" s="242"/>
      <c r="B44" s="243"/>
      <c r="C44" s="244"/>
      <c r="D44" s="244"/>
      <c r="E44" s="232"/>
      <c r="F44" s="232"/>
    </row>
    <row r="45" spans="1:7" ht="15.75" x14ac:dyDescent="0.25">
      <c r="A45" s="236"/>
      <c r="B45" s="236"/>
      <c r="C45" s="236"/>
      <c r="D45" s="236"/>
      <c r="E45" s="236"/>
      <c r="F45" s="236"/>
    </row>
    <row r="46" spans="1:7" ht="15.75" x14ac:dyDescent="0.25">
      <c r="A46" s="236"/>
      <c r="B46" s="236"/>
      <c r="C46" s="236"/>
      <c r="D46" s="236"/>
      <c r="E46" s="236"/>
      <c r="F46" s="236"/>
    </row>
    <row r="47" spans="1:7" ht="15.75" x14ac:dyDescent="0.25">
      <c r="A47" s="236"/>
      <c r="B47" s="247" t="s">
        <v>277</v>
      </c>
      <c r="C47" s="236"/>
      <c r="D47" s="236"/>
      <c r="E47" s="236"/>
      <c r="F47" s="236"/>
    </row>
    <row r="48" spans="1:7" ht="15.75" x14ac:dyDescent="0.25">
      <c r="A48" s="251"/>
      <c r="B48" s="251"/>
      <c r="C48" s="251"/>
      <c r="D48" s="251"/>
      <c r="E48" s="251"/>
      <c r="F48" s="251"/>
    </row>
    <row r="49" spans="1:6" ht="15.75" x14ac:dyDescent="0.25">
      <c r="A49" s="237"/>
      <c r="B49" s="238"/>
      <c r="C49" s="238"/>
      <c r="D49" s="238"/>
      <c r="E49" s="238"/>
      <c r="F49" s="238"/>
    </row>
    <row r="50" spans="1:6" ht="276.95" customHeight="1" x14ac:dyDescent="0.25">
      <c r="A50" s="230">
        <v>24</v>
      </c>
      <c r="B50" s="233" t="s">
        <v>290</v>
      </c>
      <c r="C50" s="230" t="s">
        <v>133</v>
      </c>
      <c r="D50" s="230">
        <v>1</v>
      </c>
      <c r="E50" s="232"/>
      <c r="F50" s="232"/>
    </row>
    <row r="51" spans="1:6" ht="228" customHeight="1" x14ac:dyDescent="0.25">
      <c r="A51" s="242">
        <v>25</v>
      </c>
      <c r="B51" s="243" t="s">
        <v>279</v>
      </c>
      <c r="C51" s="244" t="s">
        <v>133</v>
      </c>
      <c r="D51" s="244">
        <v>1</v>
      </c>
      <c r="E51" s="232"/>
      <c r="F51" s="232"/>
    </row>
    <row r="52" spans="1:6" ht="240" x14ac:dyDescent="0.25">
      <c r="A52" s="242">
        <v>26</v>
      </c>
      <c r="B52" s="243" t="s">
        <v>291</v>
      </c>
      <c r="C52" s="244" t="s">
        <v>133</v>
      </c>
      <c r="D52" s="244">
        <v>1</v>
      </c>
      <c r="E52" s="232"/>
      <c r="F52" s="232"/>
    </row>
    <row r="53" spans="1:6" ht="15.75" x14ac:dyDescent="0.25">
      <c r="A53" s="242"/>
      <c r="B53" s="243"/>
      <c r="C53" s="244"/>
      <c r="D53" s="244"/>
      <c r="E53" s="249" t="s">
        <v>285</v>
      </c>
      <c r="F53" s="232"/>
    </row>
  </sheetData>
  <mergeCells count="11">
    <mergeCell ref="A1:F1"/>
    <mergeCell ref="C2:D2"/>
    <mergeCell ref="E2:E3"/>
    <mergeCell ref="F2:F3"/>
    <mergeCell ref="B2:B3"/>
    <mergeCell ref="A2:A3"/>
    <mergeCell ref="A39:F39"/>
    <mergeCell ref="A25:F25"/>
    <mergeCell ref="A37:F37"/>
    <mergeCell ref="A48:F48"/>
    <mergeCell ref="A23:F23"/>
  </mergeCells>
  <pageMargins left="0.7" right="0.7" top="0.75" bottom="0.75" header="0.3" footer="0.3"/>
  <pageSetup scale="51" orientation="portrait" r:id="rId1"/>
  <rowBreaks count="2" manualBreakCount="2">
    <brk id="24" max="16383" man="1"/>
    <brk id="4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1"/>
  <sheetViews>
    <sheetView topLeftCell="A118" zoomScaleNormal="100" workbookViewId="0">
      <selection activeCell="A139" sqref="A139"/>
    </sheetView>
  </sheetViews>
  <sheetFormatPr baseColWidth="10" defaultRowHeight="15" x14ac:dyDescent="0.25"/>
  <cols>
    <col min="1" max="1" width="85.42578125" customWidth="1"/>
    <col min="3" max="3" width="15.140625" customWidth="1"/>
    <col min="4" max="4" width="11.42578125" customWidth="1"/>
    <col min="5" max="5" width="12.5703125" bestFit="1" customWidth="1"/>
    <col min="6" max="6" width="11.42578125" style="15"/>
    <col min="10" max="10" width="12.85546875" customWidth="1"/>
    <col min="11" max="11" width="12.85546875" bestFit="1" customWidth="1"/>
    <col min="12" max="12" width="16.42578125" bestFit="1" customWidth="1"/>
    <col min="13" max="13" width="18.5703125" bestFit="1" customWidth="1"/>
    <col min="14" max="14" width="15" bestFit="1" customWidth="1"/>
    <col min="15" max="15" width="12.140625" bestFit="1" customWidth="1"/>
    <col min="17" max="17" width="18.42578125" customWidth="1"/>
    <col min="18" max="18" width="19.42578125" customWidth="1"/>
    <col min="19" max="19" width="17.5703125" bestFit="1" customWidth="1"/>
    <col min="254" max="254" width="85.42578125" customWidth="1"/>
    <col min="256" max="256" width="15.140625" customWidth="1"/>
    <col min="257" max="257" width="11.42578125" customWidth="1"/>
    <col min="258" max="258" width="12.5703125" bestFit="1" customWidth="1"/>
    <col min="263" max="263" width="20.5703125" bestFit="1" customWidth="1"/>
    <col min="264" max="264" width="12.85546875" bestFit="1" customWidth="1"/>
    <col min="265" max="265" width="16.42578125" bestFit="1" customWidth="1"/>
    <col min="266" max="266" width="18.5703125" bestFit="1" customWidth="1"/>
    <col min="267" max="267" width="15" bestFit="1" customWidth="1"/>
    <col min="268" max="268" width="12.140625" bestFit="1" customWidth="1"/>
    <col min="272" max="272" width="13.5703125" bestFit="1" customWidth="1"/>
    <col min="273" max="273" width="16.42578125" bestFit="1" customWidth="1"/>
    <col min="274" max="274" width="17.140625" bestFit="1" customWidth="1"/>
    <col min="275" max="275" width="17.5703125" bestFit="1" customWidth="1"/>
    <col min="510" max="510" width="85.42578125" customWidth="1"/>
    <col min="512" max="512" width="15.140625" customWidth="1"/>
    <col min="513" max="513" width="11.42578125" customWidth="1"/>
    <col min="514" max="514" width="12.5703125" bestFit="1" customWidth="1"/>
    <col min="519" max="519" width="20.5703125" bestFit="1" customWidth="1"/>
    <col min="520" max="520" width="12.85546875" bestFit="1" customWidth="1"/>
    <col min="521" max="521" width="16.42578125" bestFit="1" customWidth="1"/>
    <col min="522" max="522" width="18.5703125" bestFit="1" customWidth="1"/>
    <col min="523" max="523" width="15" bestFit="1" customWidth="1"/>
    <col min="524" max="524" width="12.140625" bestFit="1" customWidth="1"/>
    <col min="528" max="528" width="13.5703125" bestFit="1" customWidth="1"/>
    <col min="529" max="529" width="16.42578125" bestFit="1" customWidth="1"/>
    <col min="530" max="530" width="17.140625" bestFit="1" customWidth="1"/>
    <col min="531" max="531" width="17.5703125" bestFit="1" customWidth="1"/>
    <col min="766" max="766" width="85.42578125" customWidth="1"/>
    <col min="768" max="768" width="15.140625" customWidth="1"/>
    <col min="769" max="769" width="11.42578125" customWidth="1"/>
    <col min="770" max="770" width="12.5703125" bestFit="1" customWidth="1"/>
    <col min="775" max="775" width="20.5703125" bestFit="1" customWidth="1"/>
    <col min="776" max="776" width="12.85546875" bestFit="1" customWidth="1"/>
    <col min="777" max="777" width="16.42578125" bestFit="1" customWidth="1"/>
    <col min="778" max="778" width="18.5703125" bestFit="1" customWidth="1"/>
    <col min="779" max="779" width="15" bestFit="1" customWidth="1"/>
    <col min="780" max="780" width="12.140625" bestFit="1" customWidth="1"/>
    <col min="784" max="784" width="13.5703125" bestFit="1" customWidth="1"/>
    <col min="785" max="785" width="16.42578125" bestFit="1" customWidth="1"/>
    <col min="786" max="786" width="17.140625" bestFit="1" customWidth="1"/>
    <col min="787" max="787" width="17.5703125" bestFit="1" customWidth="1"/>
    <col min="1022" max="1022" width="85.42578125" customWidth="1"/>
    <col min="1024" max="1024" width="15.140625" customWidth="1"/>
    <col min="1025" max="1025" width="11.42578125" customWidth="1"/>
    <col min="1026" max="1026" width="12.5703125" bestFit="1" customWidth="1"/>
    <col min="1031" max="1031" width="20.5703125" bestFit="1" customWidth="1"/>
    <col min="1032" max="1032" width="12.85546875" bestFit="1" customWidth="1"/>
    <col min="1033" max="1033" width="16.42578125" bestFit="1" customWidth="1"/>
    <col min="1034" max="1034" width="18.5703125" bestFit="1" customWidth="1"/>
    <col min="1035" max="1035" width="15" bestFit="1" customWidth="1"/>
    <col min="1036" max="1036" width="12.140625" bestFit="1" customWidth="1"/>
    <col min="1040" max="1040" width="13.5703125" bestFit="1" customWidth="1"/>
    <col min="1041" max="1041" width="16.42578125" bestFit="1" customWidth="1"/>
    <col min="1042" max="1042" width="17.140625" bestFit="1" customWidth="1"/>
    <col min="1043" max="1043" width="17.5703125" bestFit="1" customWidth="1"/>
    <col min="1278" max="1278" width="85.42578125" customWidth="1"/>
    <col min="1280" max="1280" width="15.140625" customWidth="1"/>
    <col min="1281" max="1281" width="11.42578125" customWidth="1"/>
    <col min="1282" max="1282" width="12.5703125" bestFit="1" customWidth="1"/>
    <col min="1287" max="1287" width="20.5703125" bestFit="1" customWidth="1"/>
    <col min="1288" max="1288" width="12.85546875" bestFit="1" customWidth="1"/>
    <col min="1289" max="1289" width="16.42578125" bestFit="1" customWidth="1"/>
    <col min="1290" max="1290" width="18.5703125" bestFit="1" customWidth="1"/>
    <col min="1291" max="1291" width="15" bestFit="1" customWidth="1"/>
    <col min="1292" max="1292" width="12.140625" bestFit="1" customWidth="1"/>
    <col min="1296" max="1296" width="13.5703125" bestFit="1" customWidth="1"/>
    <col min="1297" max="1297" width="16.42578125" bestFit="1" customWidth="1"/>
    <col min="1298" max="1298" width="17.140625" bestFit="1" customWidth="1"/>
    <col min="1299" max="1299" width="17.5703125" bestFit="1" customWidth="1"/>
    <col min="1534" max="1534" width="85.42578125" customWidth="1"/>
    <col min="1536" max="1536" width="15.140625" customWidth="1"/>
    <col min="1537" max="1537" width="11.42578125" customWidth="1"/>
    <col min="1538" max="1538" width="12.5703125" bestFit="1" customWidth="1"/>
    <col min="1543" max="1543" width="20.5703125" bestFit="1" customWidth="1"/>
    <col min="1544" max="1544" width="12.85546875" bestFit="1" customWidth="1"/>
    <col min="1545" max="1545" width="16.42578125" bestFit="1" customWidth="1"/>
    <col min="1546" max="1546" width="18.5703125" bestFit="1" customWidth="1"/>
    <col min="1547" max="1547" width="15" bestFit="1" customWidth="1"/>
    <col min="1548" max="1548" width="12.140625" bestFit="1" customWidth="1"/>
    <col min="1552" max="1552" width="13.5703125" bestFit="1" customWidth="1"/>
    <col min="1553" max="1553" width="16.42578125" bestFit="1" customWidth="1"/>
    <col min="1554" max="1554" width="17.140625" bestFit="1" customWidth="1"/>
    <col min="1555" max="1555" width="17.5703125" bestFit="1" customWidth="1"/>
    <col min="1790" max="1790" width="85.42578125" customWidth="1"/>
    <col min="1792" max="1792" width="15.140625" customWidth="1"/>
    <col min="1793" max="1793" width="11.42578125" customWidth="1"/>
    <col min="1794" max="1794" width="12.5703125" bestFit="1" customWidth="1"/>
    <col min="1799" max="1799" width="20.5703125" bestFit="1" customWidth="1"/>
    <col min="1800" max="1800" width="12.85546875" bestFit="1" customWidth="1"/>
    <col min="1801" max="1801" width="16.42578125" bestFit="1" customWidth="1"/>
    <col min="1802" max="1802" width="18.5703125" bestFit="1" customWidth="1"/>
    <col min="1803" max="1803" width="15" bestFit="1" customWidth="1"/>
    <col min="1804" max="1804" width="12.140625" bestFit="1" customWidth="1"/>
    <col min="1808" max="1808" width="13.5703125" bestFit="1" customWidth="1"/>
    <col min="1809" max="1809" width="16.42578125" bestFit="1" customWidth="1"/>
    <col min="1810" max="1810" width="17.140625" bestFit="1" customWidth="1"/>
    <col min="1811" max="1811" width="17.5703125" bestFit="1" customWidth="1"/>
    <col min="2046" max="2046" width="85.42578125" customWidth="1"/>
    <col min="2048" max="2048" width="15.140625" customWidth="1"/>
    <col min="2049" max="2049" width="11.42578125" customWidth="1"/>
    <col min="2050" max="2050" width="12.5703125" bestFit="1" customWidth="1"/>
    <col min="2055" max="2055" width="20.5703125" bestFit="1" customWidth="1"/>
    <col min="2056" max="2056" width="12.85546875" bestFit="1" customWidth="1"/>
    <col min="2057" max="2057" width="16.42578125" bestFit="1" customWidth="1"/>
    <col min="2058" max="2058" width="18.5703125" bestFit="1" customWidth="1"/>
    <col min="2059" max="2059" width="15" bestFit="1" customWidth="1"/>
    <col min="2060" max="2060" width="12.140625" bestFit="1" customWidth="1"/>
    <col min="2064" max="2064" width="13.5703125" bestFit="1" customWidth="1"/>
    <col min="2065" max="2065" width="16.42578125" bestFit="1" customWidth="1"/>
    <col min="2066" max="2066" width="17.140625" bestFit="1" customWidth="1"/>
    <col min="2067" max="2067" width="17.5703125" bestFit="1" customWidth="1"/>
    <col min="2302" max="2302" width="85.42578125" customWidth="1"/>
    <col min="2304" max="2304" width="15.140625" customWidth="1"/>
    <col min="2305" max="2305" width="11.42578125" customWidth="1"/>
    <col min="2306" max="2306" width="12.5703125" bestFit="1" customWidth="1"/>
    <col min="2311" max="2311" width="20.5703125" bestFit="1" customWidth="1"/>
    <col min="2312" max="2312" width="12.85546875" bestFit="1" customWidth="1"/>
    <col min="2313" max="2313" width="16.42578125" bestFit="1" customWidth="1"/>
    <col min="2314" max="2314" width="18.5703125" bestFit="1" customWidth="1"/>
    <col min="2315" max="2315" width="15" bestFit="1" customWidth="1"/>
    <col min="2316" max="2316" width="12.140625" bestFit="1" customWidth="1"/>
    <col min="2320" max="2320" width="13.5703125" bestFit="1" customWidth="1"/>
    <col min="2321" max="2321" width="16.42578125" bestFit="1" customWidth="1"/>
    <col min="2322" max="2322" width="17.140625" bestFit="1" customWidth="1"/>
    <col min="2323" max="2323" width="17.5703125" bestFit="1" customWidth="1"/>
    <col min="2558" max="2558" width="85.42578125" customWidth="1"/>
    <col min="2560" max="2560" width="15.140625" customWidth="1"/>
    <col min="2561" max="2561" width="11.42578125" customWidth="1"/>
    <col min="2562" max="2562" width="12.5703125" bestFit="1" customWidth="1"/>
    <col min="2567" max="2567" width="20.5703125" bestFit="1" customWidth="1"/>
    <col min="2568" max="2568" width="12.85546875" bestFit="1" customWidth="1"/>
    <col min="2569" max="2569" width="16.42578125" bestFit="1" customWidth="1"/>
    <col min="2570" max="2570" width="18.5703125" bestFit="1" customWidth="1"/>
    <col min="2571" max="2571" width="15" bestFit="1" customWidth="1"/>
    <col min="2572" max="2572" width="12.140625" bestFit="1" customWidth="1"/>
    <col min="2576" max="2576" width="13.5703125" bestFit="1" customWidth="1"/>
    <col min="2577" max="2577" width="16.42578125" bestFit="1" customWidth="1"/>
    <col min="2578" max="2578" width="17.140625" bestFit="1" customWidth="1"/>
    <col min="2579" max="2579" width="17.5703125" bestFit="1" customWidth="1"/>
    <col min="2814" max="2814" width="85.42578125" customWidth="1"/>
    <col min="2816" max="2816" width="15.140625" customWidth="1"/>
    <col min="2817" max="2817" width="11.42578125" customWidth="1"/>
    <col min="2818" max="2818" width="12.5703125" bestFit="1" customWidth="1"/>
    <col min="2823" max="2823" width="20.5703125" bestFit="1" customWidth="1"/>
    <col min="2824" max="2824" width="12.85546875" bestFit="1" customWidth="1"/>
    <col min="2825" max="2825" width="16.42578125" bestFit="1" customWidth="1"/>
    <col min="2826" max="2826" width="18.5703125" bestFit="1" customWidth="1"/>
    <col min="2827" max="2827" width="15" bestFit="1" customWidth="1"/>
    <col min="2828" max="2828" width="12.140625" bestFit="1" customWidth="1"/>
    <col min="2832" max="2832" width="13.5703125" bestFit="1" customWidth="1"/>
    <col min="2833" max="2833" width="16.42578125" bestFit="1" customWidth="1"/>
    <col min="2834" max="2834" width="17.140625" bestFit="1" customWidth="1"/>
    <col min="2835" max="2835" width="17.5703125" bestFit="1" customWidth="1"/>
    <col min="3070" max="3070" width="85.42578125" customWidth="1"/>
    <col min="3072" max="3072" width="15.140625" customWidth="1"/>
    <col min="3073" max="3073" width="11.42578125" customWidth="1"/>
    <col min="3074" max="3074" width="12.5703125" bestFit="1" customWidth="1"/>
    <col min="3079" max="3079" width="20.5703125" bestFit="1" customWidth="1"/>
    <col min="3080" max="3080" width="12.85546875" bestFit="1" customWidth="1"/>
    <col min="3081" max="3081" width="16.42578125" bestFit="1" customWidth="1"/>
    <col min="3082" max="3082" width="18.5703125" bestFit="1" customWidth="1"/>
    <col min="3083" max="3083" width="15" bestFit="1" customWidth="1"/>
    <col min="3084" max="3084" width="12.140625" bestFit="1" customWidth="1"/>
    <col min="3088" max="3088" width="13.5703125" bestFit="1" customWidth="1"/>
    <col min="3089" max="3089" width="16.42578125" bestFit="1" customWidth="1"/>
    <col min="3090" max="3090" width="17.140625" bestFit="1" customWidth="1"/>
    <col min="3091" max="3091" width="17.5703125" bestFit="1" customWidth="1"/>
    <col min="3326" max="3326" width="85.42578125" customWidth="1"/>
    <col min="3328" max="3328" width="15.140625" customWidth="1"/>
    <col min="3329" max="3329" width="11.42578125" customWidth="1"/>
    <col min="3330" max="3330" width="12.5703125" bestFit="1" customWidth="1"/>
    <col min="3335" max="3335" width="20.5703125" bestFit="1" customWidth="1"/>
    <col min="3336" max="3336" width="12.85546875" bestFit="1" customWidth="1"/>
    <col min="3337" max="3337" width="16.42578125" bestFit="1" customWidth="1"/>
    <col min="3338" max="3338" width="18.5703125" bestFit="1" customWidth="1"/>
    <col min="3339" max="3339" width="15" bestFit="1" customWidth="1"/>
    <col min="3340" max="3340" width="12.140625" bestFit="1" customWidth="1"/>
    <col min="3344" max="3344" width="13.5703125" bestFit="1" customWidth="1"/>
    <col min="3345" max="3345" width="16.42578125" bestFit="1" customWidth="1"/>
    <col min="3346" max="3346" width="17.140625" bestFit="1" customWidth="1"/>
    <col min="3347" max="3347" width="17.5703125" bestFit="1" customWidth="1"/>
    <col min="3582" max="3582" width="85.42578125" customWidth="1"/>
    <col min="3584" max="3584" width="15.140625" customWidth="1"/>
    <col min="3585" max="3585" width="11.42578125" customWidth="1"/>
    <col min="3586" max="3586" width="12.5703125" bestFit="1" customWidth="1"/>
    <col min="3591" max="3591" width="20.5703125" bestFit="1" customWidth="1"/>
    <col min="3592" max="3592" width="12.85546875" bestFit="1" customWidth="1"/>
    <col min="3593" max="3593" width="16.42578125" bestFit="1" customWidth="1"/>
    <col min="3594" max="3594" width="18.5703125" bestFit="1" customWidth="1"/>
    <col min="3595" max="3595" width="15" bestFit="1" customWidth="1"/>
    <col min="3596" max="3596" width="12.140625" bestFit="1" customWidth="1"/>
    <col min="3600" max="3600" width="13.5703125" bestFit="1" customWidth="1"/>
    <col min="3601" max="3601" width="16.42578125" bestFit="1" customWidth="1"/>
    <col min="3602" max="3602" width="17.140625" bestFit="1" customWidth="1"/>
    <col min="3603" max="3603" width="17.5703125" bestFit="1" customWidth="1"/>
    <col min="3838" max="3838" width="85.42578125" customWidth="1"/>
    <col min="3840" max="3840" width="15.140625" customWidth="1"/>
    <col min="3841" max="3841" width="11.42578125" customWidth="1"/>
    <col min="3842" max="3842" width="12.5703125" bestFit="1" customWidth="1"/>
    <col min="3847" max="3847" width="20.5703125" bestFit="1" customWidth="1"/>
    <col min="3848" max="3848" width="12.85546875" bestFit="1" customWidth="1"/>
    <col min="3849" max="3849" width="16.42578125" bestFit="1" customWidth="1"/>
    <col min="3850" max="3850" width="18.5703125" bestFit="1" customWidth="1"/>
    <col min="3851" max="3851" width="15" bestFit="1" customWidth="1"/>
    <col min="3852" max="3852" width="12.140625" bestFit="1" customWidth="1"/>
    <col min="3856" max="3856" width="13.5703125" bestFit="1" customWidth="1"/>
    <col min="3857" max="3857" width="16.42578125" bestFit="1" customWidth="1"/>
    <col min="3858" max="3858" width="17.140625" bestFit="1" customWidth="1"/>
    <col min="3859" max="3859" width="17.5703125" bestFit="1" customWidth="1"/>
    <col min="4094" max="4094" width="85.42578125" customWidth="1"/>
    <col min="4096" max="4096" width="15.140625" customWidth="1"/>
    <col min="4097" max="4097" width="11.42578125" customWidth="1"/>
    <col min="4098" max="4098" width="12.5703125" bestFit="1" customWidth="1"/>
    <col min="4103" max="4103" width="20.5703125" bestFit="1" customWidth="1"/>
    <col min="4104" max="4104" width="12.85546875" bestFit="1" customWidth="1"/>
    <col min="4105" max="4105" width="16.42578125" bestFit="1" customWidth="1"/>
    <col min="4106" max="4106" width="18.5703125" bestFit="1" customWidth="1"/>
    <col min="4107" max="4107" width="15" bestFit="1" customWidth="1"/>
    <col min="4108" max="4108" width="12.140625" bestFit="1" customWidth="1"/>
    <col min="4112" max="4112" width="13.5703125" bestFit="1" customWidth="1"/>
    <col min="4113" max="4113" width="16.42578125" bestFit="1" customWidth="1"/>
    <col min="4114" max="4114" width="17.140625" bestFit="1" customWidth="1"/>
    <col min="4115" max="4115" width="17.5703125" bestFit="1" customWidth="1"/>
    <col min="4350" max="4350" width="85.42578125" customWidth="1"/>
    <col min="4352" max="4352" width="15.140625" customWidth="1"/>
    <col min="4353" max="4353" width="11.42578125" customWidth="1"/>
    <col min="4354" max="4354" width="12.5703125" bestFit="1" customWidth="1"/>
    <col min="4359" max="4359" width="20.5703125" bestFit="1" customWidth="1"/>
    <col min="4360" max="4360" width="12.85546875" bestFit="1" customWidth="1"/>
    <col min="4361" max="4361" width="16.42578125" bestFit="1" customWidth="1"/>
    <col min="4362" max="4362" width="18.5703125" bestFit="1" customWidth="1"/>
    <col min="4363" max="4363" width="15" bestFit="1" customWidth="1"/>
    <col min="4364" max="4364" width="12.140625" bestFit="1" customWidth="1"/>
    <col min="4368" max="4368" width="13.5703125" bestFit="1" customWidth="1"/>
    <col min="4369" max="4369" width="16.42578125" bestFit="1" customWidth="1"/>
    <col min="4370" max="4370" width="17.140625" bestFit="1" customWidth="1"/>
    <col min="4371" max="4371" width="17.5703125" bestFit="1" customWidth="1"/>
    <col min="4606" max="4606" width="85.42578125" customWidth="1"/>
    <col min="4608" max="4608" width="15.140625" customWidth="1"/>
    <col min="4609" max="4609" width="11.42578125" customWidth="1"/>
    <col min="4610" max="4610" width="12.5703125" bestFit="1" customWidth="1"/>
    <col min="4615" max="4615" width="20.5703125" bestFit="1" customWidth="1"/>
    <col min="4616" max="4616" width="12.85546875" bestFit="1" customWidth="1"/>
    <col min="4617" max="4617" width="16.42578125" bestFit="1" customWidth="1"/>
    <col min="4618" max="4618" width="18.5703125" bestFit="1" customWidth="1"/>
    <col min="4619" max="4619" width="15" bestFit="1" customWidth="1"/>
    <col min="4620" max="4620" width="12.140625" bestFit="1" customWidth="1"/>
    <col min="4624" max="4624" width="13.5703125" bestFit="1" customWidth="1"/>
    <col min="4625" max="4625" width="16.42578125" bestFit="1" customWidth="1"/>
    <col min="4626" max="4626" width="17.140625" bestFit="1" customWidth="1"/>
    <col min="4627" max="4627" width="17.5703125" bestFit="1" customWidth="1"/>
    <col min="4862" max="4862" width="85.42578125" customWidth="1"/>
    <col min="4864" max="4864" width="15.140625" customWidth="1"/>
    <col min="4865" max="4865" width="11.42578125" customWidth="1"/>
    <col min="4866" max="4866" width="12.5703125" bestFit="1" customWidth="1"/>
    <col min="4871" max="4871" width="20.5703125" bestFit="1" customWidth="1"/>
    <col min="4872" max="4872" width="12.85546875" bestFit="1" customWidth="1"/>
    <col min="4873" max="4873" width="16.42578125" bestFit="1" customWidth="1"/>
    <col min="4874" max="4874" width="18.5703125" bestFit="1" customWidth="1"/>
    <col min="4875" max="4875" width="15" bestFit="1" customWidth="1"/>
    <col min="4876" max="4876" width="12.140625" bestFit="1" customWidth="1"/>
    <col min="4880" max="4880" width="13.5703125" bestFit="1" customWidth="1"/>
    <col min="4881" max="4881" width="16.42578125" bestFit="1" customWidth="1"/>
    <col min="4882" max="4882" width="17.140625" bestFit="1" customWidth="1"/>
    <col min="4883" max="4883" width="17.5703125" bestFit="1" customWidth="1"/>
    <col min="5118" max="5118" width="85.42578125" customWidth="1"/>
    <col min="5120" max="5120" width="15.140625" customWidth="1"/>
    <col min="5121" max="5121" width="11.42578125" customWidth="1"/>
    <col min="5122" max="5122" width="12.5703125" bestFit="1" customWidth="1"/>
    <col min="5127" max="5127" width="20.5703125" bestFit="1" customWidth="1"/>
    <col min="5128" max="5128" width="12.85546875" bestFit="1" customWidth="1"/>
    <col min="5129" max="5129" width="16.42578125" bestFit="1" customWidth="1"/>
    <col min="5130" max="5130" width="18.5703125" bestFit="1" customWidth="1"/>
    <col min="5131" max="5131" width="15" bestFit="1" customWidth="1"/>
    <col min="5132" max="5132" width="12.140625" bestFit="1" customWidth="1"/>
    <col min="5136" max="5136" width="13.5703125" bestFit="1" customWidth="1"/>
    <col min="5137" max="5137" width="16.42578125" bestFit="1" customWidth="1"/>
    <col min="5138" max="5138" width="17.140625" bestFit="1" customWidth="1"/>
    <col min="5139" max="5139" width="17.5703125" bestFit="1" customWidth="1"/>
    <col min="5374" max="5374" width="85.42578125" customWidth="1"/>
    <col min="5376" max="5376" width="15.140625" customWidth="1"/>
    <col min="5377" max="5377" width="11.42578125" customWidth="1"/>
    <col min="5378" max="5378" width="12.5703125" bestFit="1" customWidth="1"/>
    <col min="5383" max="5383" width="20.5703125" bestFit="1" customWidth="1"/>
    <col min="5384" max="5384" width="12.85546875" bestFit="1" customWidth="1"/>
    <col min="5385" max="5385" width="16.42578125" bestFit="1" customWidth="1"/>
    <col min="5386" max="5386" width="18.5703125" bestFit="1" customWidth="1"/>
    <col min="5387" max="5387" width="15" bestFit="1" customWidth="1"/>
    <col min="5388" max="5388" width="12.140625" bestFit="1" customWidth="1"/>
    <col min="5392" max="5392" width="13.5703125" bestFit="1" customWidth="1"/>
    <col min="5393" max="5393" width="16.42578125" bestFit="1" customWidth="1"/>
    <col min="5394" max="5394" width="17.140625" bestFit="1" customWidth="1"/>
    <col min="5395" max="5395" width="17.5703125" bestFit="1" customWidth="1"/>
    <col min="5630" max="5630" width="85.42578125" customWidth="1"/>
    <col min="5632" max="5632" width="15.140625" customWidth="1"/>
    <col min="5633" max="5633" width="11.42578125" customWidth="1"/>
    <col min="5634" max="5634" width="12.5703125" bestFit="1" customWidth="1"/>
    <col min="5639" max="5639" width="20.5703125" bestFit="1" customWidth="1"/>
    <col min="5640" max="5640" width="12.85546875" bestFit="1" customWidth="1"/>
    <col min="5641" max="5641" width="16.42578125" bestFit="1" customWidth="1"/>
    <col min="5642" max="5642" width="18.5703125" bestFit="1" customWidth="1"/>
    <col min="5643" max="5643" width="15" bestFit="1" customWidth="1"/>
    <col min="5644" max="5644" width="12.140625" bestFit="1" customWidth="1"/>
    <col min="5648" max="5648" width="13.5703125" bestFit="1" customWidth="1"/>
    <col min="5649" max="5649" width="16.42578125" bestFit="1" customWidth="1"/>
    <col min="5650" max="5650" width="17.140625" bestFit="1" customWidth="1"/>
    <col min="5651" max="5651" width="17.5703125" bestFit="1" customWidth="1"/>
    <col min="5886" max="5886" width="85.42578125" customWidth="1"/>
    <col min="5888" max="5888" width="15.140625" customWidth="1"/>
    <col min="5889" max="5889" width="11.42578125" customWidth="1"/>
    <col min="5890" max="5890" width="12.5703125" bestFit="1" customWidth="1"/>
    <col min="5895" max="5895" width="20.5703125" bestFit="1" customWidth="1"/>
    <col min="5896" max="5896" width="12.85546875" bestFit="1" customWidth="1"/>
    <col min="5897" max="5897" width="16.42578125" bestFit="1" customWidth="1"/>
    <col min="5898" max="5898" width="18.5703125" bestFit="1" customWidth="1"/>
    <col min="5899" max="5899" width="15" bestFit="1" customWidth="1"/>
    <col min="5900" max="5900" width="12.140625" bestFit="1" customWidth="1"/>
    <col min="5904" max="5904" width="13.5703125" bestFit="1" customWidth="1"/>
    <col min="5905" max="5905" width="16.42578125" bestFit="1" customWidth="1"/>
    <col min="5906" max="5906" width="17.140625" bestFit="1" customWidth="1"/>
    <col min="5907" max="5907" width="17.5703125" bestFit="1" customWidth="1"/>
    <col min="6142" max="6142" width="85.42578125" customWidth="1"/>
    <col min="6144" max="6144" width="15.140625" customWidth="1"/>
    <col min="6145" max="6145" width="11.42578125" customWidth="1"/>
    <col min="6146" max="6146" width="12.5703125" bestFit="1" customWidth="1"/>
    <col min="6151" max="6151" width="20.5703125" bestFit="1" customWidth="1"/>
    <col min="6152" max="6152" width="12.85546875" bestFit="1" customWidth="1"/>
    <col min="6153" max="6153" width="16.42578125" bestFit="1" customWidth="1"/>
    <col min="6154" max="6154" width="18.5703125" bestFit="1" customWidth="1"/>
    <col min="6155" max="6155" width="15" bestFit="1" customWidth="1"/>
    <col min="6156" max="6156" width="12.140625" bestFit="1" customWidth="1"/>
    <col min="6160" max="6160" width="13.5703125" bestFit="1" customWidth="1"/>
    <col min="6161" max="6161" width="16.42578125" bestFit="1" customWidth="1"/>
    <col min="6162" max="6162" width="17.140625" bestFit="1" customWidth="1"/>
    <col min="6163" max="6163" width="17.5703125" bestFit="1" customWidth="1"/>
    <col min="6398" max="6398" width="85.42578125" customWidth="1"/>
    <col min="6400" max="6400" width="15.140625" customWidth="1"/>
    <col min="6401" max="6401" width="11.42578125" customWidth="1"/>
    <col min="6402" max="6402" width="12.5703125" bestFit="1" customWidth="1"/>
    <col min="6407" max="6407" width="20.5703125" bestFit="1" customWidth="1"/>
    <col min="6408" max="6408" width="12.85546875" bestFit="1" customWidth="1"/>
    <col min="6409" max="6409" width="16.42578125" bestFit="1" customWidth="1"/>
    <col min="6410" max="6410" width="18.5703125" bestFit="1" customWidth="1"/>
    <col min="6411" max="6411" width="15" bestFit="1" customWidth="1"/>
    <col min="6412" max="6412" width="12.140625" bestFit="1" customWidth="1"/>
    <col min="6416" max="6416" width="13.5703125" bestFit="1" customWidth="1"/>
    <col min="6417" max="6417" width="16.42578125" bestFit="1" customWidth="1"/>
    <col min="6418" max="6418" width="17.140625" bestFit="1" customWidth="1"/>
    <col min="6419" max="6419" width="17.5703125" bestFit="1" customWidth="1"/>
    <col min="6654" max="6654" width="85.42578125" customWidth="1"/>
    <col min="6656" max="6656" width="15.140625" customWidth="1"/>
    <col min="6657" max="6657" width="11.42578125" customWidth="1"/>
    <col min="6658" max="6658" width="12.5703125" bestFit="1" customWidth="1"/>
    <col min="6663" max="6663" width="20.5703125" bestFit="1" customWidth="1"/>
    <col min="6664" max="6664" width="12.85546875" bestFit="1" customWidth="1"/>
    <col min="6665" max="6665" width="16.42578125" bestFit="1" customWidth="1"/>
    <col min="6666" max="6666" width="18.5703125" bestFit="1" customWidth="1"/>
    <col min="6667" max="6667" width="15" bestFit="1" customWidth="1"/>
    <col min="6668" max="6668" width="12.140625" bestFit="1" customWidth="1"/>
    <col min="6672" max="6672" width="13.5703125" bestFit="1" customWidth="1"/>
    <col min="6673" max="6673" width="16.42578125" bestFit="1" customWidth="1"/>
    <col min="6674" max="6674" width="17.140625" bestFit="1" customWidth="1"/>
    <col min="6675" max="6675" width="17.5703125" bestFit="1" customWidth="1"/>
    <col min="6910" max="6910" width="85.42578125" customWidth="1"/>
    <col min="6912" max="6912" width="15.140625" customWidth="1"/>
    <col min="6913" max="6913" width="11.42578125" customWidth="1"/>
    <col min="6914" max="6914" width="12.5703125" bestFit="1" customWidth="1"/>
    <col min="6919" max="6919" width="20.5703125" bestFit="1" customWidth="1"/>
    <col min="6920" max="6920" width="12.85546875" bestFit="1" customWidth="1"/>
    <col min="6921" max="6921" width="16.42578125" bestFit="1" customWidth="1"/>
    <col min="6922" max="6922" width="18.5703125" bestFit="1" customWidth="1"/>
    <col min="6923" max="6923" width="15" bestFit="1" customWidth="1"/>
    <col min="6924" max="6924" width="12.140625" bestFit="1" customWidth="1"/>
    <col min="6928" max="6928" width="13.5703125" bestFit="1" customWidth="1"/>
    <col min="6929" max="6929" width="16.42578125" bestFit="1" customWidth="1"/>
    <col min="6930" max="6930" width="17.140625" bestFit="1" customWidth="1"/>
    <col min="6931" max="6931" width="17.5703125" bestFit="1" customWidth="1"/>
    <col min="7166" max="7166" width="85.42578125" customWidth="1"/>
    <col min="7168" max="7168" width="15.140625" customWidth="1"/>
    <col min="7169" max="7169" width="11.42578125" customWidth="1"/>
    <col min="7170" max="7170" width="12.5703125" bestFit="1" customWidth="1"/>
    <col min="7175" max="7175" width="20.5703125" bestFit="1" customWidth="1"/>
    <col min="7176" max="7176" width="12.85546875" bestFit="1" customWidth="1"/>
    <col min="7177" max="7177" width="16.42578125" bestFit="1" customWidth="1"/>
    <col min="7178" max="7178" width="18.5703125" bestFit="1" customWidth="1"/>
    <col min="7179" max="7179" width="15" bestFit="1" customWidth="1"/>
    <col min="7180" max="7180" width="12.140625" bestFit="1" customWidth="1"/>
    <col min="7184" max="7184" width="13.5703125" bestFit="1" customWidth="1"/>
    <col min="7185" max="7185" width="16.42578125" bestFit="1" customWidth="1"/>
    <col min="7186" max="7186" width="17.140625" bestFit="1" customWidth="1"/>
    <col min="7187" max="7187" width="17.5703125" bestFit="1" customWidth="1"/>
    <col min="7422" max="7422" width="85.42578125" customWidth="1"/>
    <col min="7424" max="7424" width="15.140625" customWidth="1"/>
    <col min="7425" max="7425" width="11.42578125" customWidth="1"/>
    <col min="7426" max="7426" width="12.5703125" bestFit="1" customWidth="1"/>
    <col min="7431" max="7431" width="20.5703125" bestFit="1" customWidth="1"/>
    <col min="7432" max="7432" width="12.85546875" bestFit="1" customWidth="1"/>
    <col min="7433" max="7433" width="16.42578125" bestFit="1" customWidth="1"/>
    <col min="7434" max="7434" width="18.5703125" bestFit="1" customWidth="1"/>
    <col min="7435" max="7435" width="15" bestFit="1" customWidth="1"/>
    <col min="7436" max="7436" width="12.140625" bestFit="1" customWidth="1"/>
    <col min="7440" max="7440" width="13.5703125" bestFit="1" customWidth="1"/>
    <col min="7441" max="7441" width="16.42578125" bestFit="1" customWidth="1"/>
    <col min="7442" max="7442" width="17.140625" bestFit="1" customWidth="1"/>
    <col min="7443" max="7443" width="17.5703125" bestFit="1" customWidth="1"/>
    <col min="7678" max="7678" width="85.42578125" customWidth="1"/>
    <col min="7680" max="7680" width="15.140625" customWidth="1"/>
    <col min="7681" max="7681" width="11.42578125" customWidth="1"/>
    <col min="7682" max="7682" width="12.5703125" bestFit="1" customWidth="1"/>
    <col min="7687" max="7687" width="20.5703125" bestFit="1" customWidth="1"/>
    <col min="7688" max="7688" width="12.85546875" bestFit="1" customWidth="1"/>
    <col min="7689" max="7689" width="16.42578125" bestFit="1" customWidth="1"/>
    <col min="7690" max="7690" width="18.5703125" bestFit="1" customWidth="1"/>
    <col min="7691" max="7691" width="15" bestFit="1" customWidth="1"/>
    <col min="7692" max="7692" width="12.140625" bestFit="1" customWidth="1"/>
    <col min="7696" max="7696" width="13.5703125" bestFit="1" customWidth="1"/>
    <col min="7697" max="7697" width="16.42578125" bestFit="1" customWidth="1"/>
    <col min="7698" max="7698" width="17.140625" bestFit="1" customWidth="1"/>
    <col min="7699" max="7699" width="17.5703125" bestFit="1" customWidth="1"/>
    <col min="7934" max="7934" width="85.42578125" customWidth="1"/>
    <col min="7936" max="7936" width="15.140625" customWidth="1"/>
    <col min="7937" max="7937" width="11.42578125" customWidth="1"/>
    <col min="7938" max="7938" width="12.5703125" bestFit="1" customWidth="1"/>
    <col min="7943" max="7943" width="20.5703125" bestFit="1" customWidth="1"/>
    <col min="7944" max="7944" width="12.85546875" bestFit="1" customWidth="1"/>
    <col min="7945" max="7945" width="16.42578125" bestFit="1" customWidth="1"/>
    <col min="7946" max="7946" width="18.5703125" bestFit="1" customWidth="1"/>
    <col min="7947" max="7947" width="15" bestFit="1" customWidth="1"/>
    <col min="7948" max="7948" width="12.140625" bestFit="1" customWidth="1"/>
    <col min="7952" max="7952" width="13.5703125" bestFit="1" customWidth="1"/>
    <col min="7953" max="7953" width="16.42578125" bestFit="1" customWidth="1"/>
    <col min="7954" max="7954" width="17.140625" bestFit="1" customWidth="1"/>
    <col min="7955" max="7955" width="17.5703125" bestFit="1" customWidth="1"/>
    <col min="8190" max="8190" width="85.42578125" customWidth="1"/>
    <col min="8192" max="8192" width="15.140625" customWidth="1"/>
    <col min="8193" max="8193" width="11.42578125" customWidth="1"/>
    <col min="8194" max="8194" width="12.5703125" bestFit="1" customWidth="1"/>
    <col min="8199" max="8199" width="20.5703125" bestFit="1" customWidth="1"/>
    <col min="8200" max="8200" width="12.85546875" bestFit="1" customWidth="1"/>
    <col min="8201" max="8201" width="16.42578125" bestFit="1" customWidth="1"/>
    <col min="8202" max="8202" width="18.5703125" bestFit="1" customWidth="1"/>
    <col min="8203" max="8203" width="15" bestFit="1" customWidth="1"/>
    <col min="8204" max="8204" width="12.140625" bestFit="1" customWidth="1"/>
    <col min="8208" max="8208" width="13.5703125" bestFit="1" customWidth="1"/>
    <col min="8209" max="8209" width="16.42578125" bestFit="1" customWidth="1"/>
    <col min="8210" max="8210" width="17.140625" bestFit="1" customWidth="1"/>
    <col min="8211" max="8211" width="17.5703125" bestFit="1" customWidth="1"/>
    <col min="8446" max="8446" width="85.42578125" customWidth="1"/>
    <col min="8448" max="8448" width="15.140625" customWidth="1"/>
    <col min="8449" max="8449" width="11.42578125" customWidth="1"/>
    <col min="8450" max="8450" width="12.5703125" bestFit="1" customWidth="1"/>
    <col min="8455" max="8455" width="20.5703125" bestFit="1" customWidth="1"/>
    <col min="8456" max="8456" width="12.85546875" bestFit="1" customWidth="1"/>
    <col min="8457" max="8457" width="16.42578125" bestFit="1" customWidth="1"/>
    <col min="8458" max="8458" width="18.5703125" bestFit="1" customWidth="1"/>
    <col min="8459" max="8459" width="15" bestFit="1" customWidth="1"/>
    <col min="8460" max="8460" width="12.140625" bestFit="1" customWidth="1"/>
    <col min="8464" max="8464" width="13.5703125" bestFit="1" customWidth="1"/>
    <col min="8465" max="8465" width="16.42578125" bestFit="1" customWidth="1"/>
    <col min="8466" max="8466" width="17.140625" bestFit="1" customWidth="1"/>
    <col min="8467" max="8467" width="17.5703125" bestFit="1" customWidth="1"/>
    <col min="8702" max="8702" width="85.42578125" customWidth="1"/>
    <col min="8704" max="8704" width="15.140625" customWidth="1"/>
    <col min="8705" max="8705" width="11.42578125" customWidth="1"/>
    <col min="8706" max="8706" width="12.5703125" bestFit="1" customWidth="1"/>
    <col min="8711" max="8711" width="20.5703125" bestFit="1" customWidth="1"/>
    <col min="8712" max="8712" width="12.85546875" bestFit="1" customWidth="1"/>
    <col min="8713" max="8713" width="16.42578125" bestFit="1" customWidth="1"/>
    <col min="8714" max="8714" width="18.5703125" bestFit="1" customWidth="1"/>
    <col min="8715" max="8715" width="15" bestFit="1" customWidth="1"/>
    <col min="8716" max="8716" width="12.140625" bestFit="1" customWidth="1"/>
    <col min="8720" max="8720" width="13.5703125" bestFit="1" customWidth="1"/>
    <col min="8721" max="8721" width="16.42578125" bestFit="1" customWidth="1"/>
    <col min="8722" max="8722" width="17.140625" bestFit="1" customWidth="1"/>
    <col min="8723" max="8723" width="17.5703125" bestFit="1" customWidth="1"/>
    <col min="8958" max="8958" width="85.42578125" customWidth="1"/>
    <col min="8960" max="8960" width="15.140625" customWidth="1"/>
    <col min="8961" max="8961" width="11.42578125" customWidth="1"/>
    <col min="8962" max="8962" width="12.5703125" bestFit="1" customWidth="1"/>
    <col min="8967" max="8967" width="20.5703125" bestFit="1" customWidth="1"/>
    <col min="8968" max="8968" width="12.85546875" bestFit="1" customWidth="1"/>
    <col min="8969" max="8969" width="16.42578125" bestFit="1" customWidth="1"/>
    <col min="8970" max="8970" width="18.5703125" bestFit="1" customWidth="1"/>
    <col min="8971" max="8971" width="15" bestFit="1" customWidth="1"/>
    <col min="8972" max="8972" width="12.140625" bestFit="1" customWidth="1"/>
    <col min="8976" max="8976" width="13.5703125" bestFit="1" customWidth="1"/>
    <col min="8977" max="8977" width="16.42578125" bestFit="1" customWidth="1"/>
    <col min="8978" max="8978" width="17.140625" bestFit="1" customWidth="1"/>
    <col min="8979" max="8979" width="17.5703125" bestFit="1" customWidth="1"/>
    <col min="9214" max="9214" width="85.42578125" customWidth="1"/>
    <col min="9216" max="9216" width="15.140625" customWidth="1"/>
    <col min="9217" max="9217" width="11.42578125" customWidth="1"/>
    <col min="9218" max="9218" width="12.5703125" bestFit="1" customWidth="1"/>
    <col min="9223" max="9223" width="20.5703125" bestFit="1" customWidth="1"/>
    <col min="9224" max="9224" width="12.85546875" bestFit="1" customWidth="1"/>
    <col min="9225" max="9225" width="16.42578125" bestFit="1" customWidth="1"/>
    <col min="9226" max="9226" width="18.5703125" bestFit="1" customWidth="1"/>
    <col min="9227" max="9227" width="15" bestFit="1" customWidth="1"/>
    <col min="9228" max="9228" width="12.140625" bestFit="1" customWidth="1"/>
    <col min="9232" max="9232" width="13.5703125" bestFit="1" customWidth="1"/>
    <col min="9233" max="9233" width="16.42578125" bestFit="1" customWidth="1"/>
    <col min="9234" max="9234" width="17.140625" bestFit="1" customWidth="1"/>
    <col min="9235" max="9235" width="17.5703125" bestFit="1" customWidth="1"/>
    <col min="9470" max="9470" width="85.42578125" customWidth="1"/>
    <col min="9472" max="9472" width="15.140625" customWidth="1"/>
    <col min="9473" max="9473" width="11.42578125" customWidth="1"/>
    <col min="9474" max="9474" width="12.5703125" bestFit="1" customWidth="1"/>
    <col min="9479" max="9479" width="20.5703125" bestFit="1" customWidth="1"/>
    <col min="9480" max="9480" width="12.85546875" bestFit="1" customWidth="1"/>
    <col min="9481" max="9481" width="16.42578125" bestFit="1" customWidth="1"/>
    <col min="9482" max="9482" width="18.5703125" bestFit="1" customWidth="1"/>
    <col min="9483" max="9483" width="15" bestFit="1" customWidth="1"/>
    <col min="9484" max="9484" width="12.140625" bestFit="1" customWidth="1"/>
    <col min="9488" max="9488" width="13.5703125" bestFit="1" customWidth="1"/>
    <col min="9489" max="9489" width="16.42578125" bestFit="1" customWidth="1"/>
    <col min="9490" max="9490" width="17.140625" bestFit="1" customWidth="1"/>
    <col min="9491" max="9491" width="17.5703125" bestFit="1" customWidth="1"/>
    <col min="9726" max="9726" width="85.42578125" customWidth="1"/>
    <col min="9728" max="9728" width="15.140625" customWidth="1"/>
    <col min="9729" max="9729" width="11.42578125" customWidth="1"/>
    <col min="9730" max="9730" width="12.5703125" bestFit="1" customWidth="1"/>
    <col min="9735" max="9735" width="20.5703125" bestFit="1" customWidth="1"/>
    <col min="9736" max="9736" width="12.85546875" bestFit="1" customWidth="1"/>
    <col min="9737" max="9737" width="16.42578125" bestFit="1" customWidth="1"/>
    <col min="9738" max="9738" width="18.5703125" bestFit="1" customWidth="1"/>
    <col min="9739" max="9739" width="15" bestFit="1" customWidth="1"/>
    <col min="9740" max="9740" width="12.140625" bestFit="1" customWidth="1"/>
    <col min="9744" max="9744" width="13.5703125" bestFit="1" customWidth="1"/>
    <col min="9745" max="9745" width="16.42578125" bestFit="1" customWidth="1"/>
    <col min="9746" max="9746" width="17.140625" bestFit="1" customWidth="1"/>
    <col min="9747" max="9747" width="17.5703125" bestFit="1" customWidth="1"/>
    <col min="9982" max="9982" width="85.42578125" customWidth="1"/>
    <col min="9984" max="9984" width="15.140625" customWidth="1"/>
    <col min="9985" max="9985" width="11.42578125" customWidth="1"/>
    <col min="9986" max="9986" width="12.5703125" bestFit="1" customWidth="1"/>
    <col min="9991" max="9991" width="20.5703125" bestFit="1" customWidth="1"/>
    <col min="9992" max="9992" width="12.85546875" bestFit="1" customWidth="1"/>
    <col min="9993" max="9993" width="16.42578125" bestFit="1" customWidth="1"/>
    <col min="9994" max="9994" width="18.5703125" bestFit="1" customWidth="1"/>
    <col min="9995" max="9995" width="15" bestFit="1" customWidth="1"/>
    <col min="9996" max="9996" width="12.140625" bestFit="1" customWidth="1"/>
    <col min="10000" max="10000" width="13.5703125" bestFit="1" customWidth="1"/>
    <col min="10001" max="10001" width="16.42578125" bestFit="1" customWidth="1"/>
    <col min="10002" max="10002" width="17.140625" bestFit="1" customWidth="1"/>
    <col min="10003" max="10003" width="17.5703125" bestFit="1" customWidth="1"/>
    <col min="10238" max="10238" width="85.42578125" customWidth="1"/>
    <col min="10240" max="10240" width="15.140625" customWidth="1"/>
    <col min="10241" max="10241" width="11.42578125" customWidth="1"/>
    <col min="10242" max="10242" width="12.5703125" bestFit="1" customWidth="1"/>
    <col min="10247" max="10247" width="20.5703125" bestFit="1" customWidth="1"/>
    <col min="10248" max="10248" width="12.85546875" bestFit="1" customWidth="1"/>
    <col min="10249" max="10249" width="16.42578125" bestFit="1" customWidth="1"/>
    <col min="10250" max="10250" width="18.5703125" bestFit="1" customWidth="1"/>
    <col min="10251" max="10251" width="15" bestFit="1" customWidth="1"/>
    <col min="10252" max="10252" width="12.140625" bestFit="1" customWidth="1"/>
    <col min="10256" max="10256" width="13.5703125" bestFit="1" customWidth="1"/>
    <col min="10257" max="10257" width="16.42578125" bestFit="1" customWidth="1"/>
    <col min="10258" max="10258" width="17.140625" bestFit="1" customWidth="1"/>
    <col min="10259" max="10259" width="17.5703125" bestFit="1" customWidth="1"/>
    <col min="10494" max="10494" width="85.42578125" customWidth="1"/>
    <col min="10496" max="10496" width="15.140625" customWidth="1"/>
    <col min="10497" max="10497" width="11.42578125" customWidth="1"/>
    <col min="10498" max="10498" width="12.5703125" bestFit="1" customWidth="1"/>
    <col min="10503" max="10503" width="20.5703125" bestFit="1" customWidth="1"/>
    <col min="10504" max="10504" width="12.85546875" bestFit="1" customWidth="1"/>
    <col min="10505" max="10505" width="16.42578125" bestFit="1" customWidth="1"/>
    <col min="10506" max="10506" width="18.5703125" bestFit="1" customWidth="1"/>
    <col min="10507" max="10507" width="15" bestFit="1" customWidth="1"/>
    <col min="10508" max="10508" width="12.140625" bestFit="1" customWidth="1"/>
    <col min="10512" max="10512" width="13.5703125" bestFit="1" customWidth="1"/>
    <col min="10513" max="10513" width="16.42578125" bestFit="1" customWidth="1"/>
    <col min="10514" max="10514" width="17.140625" bestFit="1" customWidth="1"/>
    <col min="10515" max="10515" width="17.5703125" bestFit="1" customWidth="1"/>
    <col min="10750" max="10750" width="85.42578125" customWidth="1"/>
    <col min="10752" max="10752" width="15.140625" customWidth="1"/>
    <col min="10753" max="10753" width="11.42578125" customWidth="1"/>
    <col min="10754" max="10754" width="12.5703125" bestFit="1" customWidth="1"/>
    <col min="10759" max="10759" width="20.5703125" bestFit="1" customWidth="1"/>
    <col min="10760" max="10760" width="12.85546875" bestFit="1" customWidth="1"/>
    <col min="10761" max="10761" width="16.42578125" bestFit="1" customWidth="1"/>
    <col min="10762" max="10762" width="18.5703125" bestFit="1" customWidth="1"/>
    <col min="10763" max="10763" width="15" bestFit="1" customWidth="1"/>
    <col min="10764" max="10764" width="12.140625" bestFit="1" customWidth="1"/>
    <col min="10768" max="10768" width="13.5703125" bestFit="1" customWidth="1"/>
    <col min="10769" max="10769" width="16.42578125" bestFit="1" customWidth="1"/>
    <col min="10770" max="10770" width="17.140625" bestFit="1" customWidth="1"/>
    <col min="10771" max="10771" width="17.5703125" bestFit="1" customWidth="1"/>
    <col min="11006" max="11006" width="85.42578125" customWidth="1"/>
    <col min="11008" max="11008" width="15.140625" customWidth="1"/>
    <col min="11009" max="11009" width="11.42578125" customWidth="1"/>
    <col min="11010" max="11010" width="12.5703125" bestFit="1" customWidth="1"/>
    <col min="11015" max="11015" width="20.5703125" bestFit="1" customWidth="1"/>
    <col min="11016" max="11016" width="12.85546875" bestFit="1" customWidth="1"/>
    <col min="11017" max="11017" width="16.42578125" bestFit="1" customWidth="1"/>
    <col min="11018" max="11018" width="18.5703125" bestFit="1" customWidth="1"/>
    <col min="11019" max="11019" width="15" bestFit="1" customWidth="1"/>
    <col min="11020" max="11020" width="12.140625" bestFit="1" customWidth="1"/>
    <col min="11024" max="11024" width="13.5703125" bestFit="1" customWidth="1"/>
    <col min="11025" max="11025" width="16.42578125" bestFit="1" customWidth="1"/>
    <col min="11026" max="11026" width="17.140625" bestFit="1" customWidth="1"/>
    <col min="11027" max="11027" width="17.5703125" bestFit="1" customWidth="1"/>
    <col min="11262" max="11262" width="85.42578125" customWidth="1"/>
    <col min="11264" max="11264" width="15.140625" customWidth="1"/>
    <col min="11265" max="11265" width="11.42578125" customWidth="1"/>
    <col min="11266" max="11266" width="12.5703125" bestFit="1" customWidth="1"/>
    <col min="11271" max="11271" width="20.5703125" bestFit="1" customWidth="1"/>
    <col min="11272" max="11272" width="12.85546875" bestFit="1" customWidth="1"/>
    <col min="11273" max="11273" width="16.42578125" bestFit="1" customWidth="1"/>
    <col min="11274" max="11274" width="18.5703125" bestFit="1" customWidth="1"/>
    <col min="11275" max="11275" width="15" bestFit="1" customWidth="1"/>
    <col min="11276" max="11276" width="12.140625" bestFit="1" customWidth="1"/>
    <col min="11280" max="11280" width="13.5703125" bestFit="1" customWidth="1"/>
    <col min="11281" max="11281" width="16.42578125" bestFit="1" customWidth="1"/>
    <col min="11282" max="11282" width="17.140625" bestFit="1" customWidth="1"/>
    <col min="11283" max="11283" width="17.5703125" bestFit="1" customWidth="1"/>
    <col min="11518" max="11518" width="85.42578125" customWidth="1"/>
    <col min="11520" max="11520" width="15.140625" customWidth="1"/>
    <col min="11521" max="11521" width="11.42578125" customWidth="1"/>
    <col min="11522" max="11522" width="12.5703125" bestFit="1" customWidth="1"/>
    <col min="11527" max="11527" width="20.5703125" bestFit="1" customWidth="1"/>
    <col min="11528" max="11528" width="12.85546875" bestFit="1" customWidth="1"/>
    <col min="11529" max="11529" width="16.42578125" bestFit="1" customWidth="1"/>
    <col min="11530" max="11530" width="18.5703125" bestFit="1" customWidth="1"/>
    <col min="11531" max="11531" width="15" bestFit="1" customWidth="1"/>
    <col min="11532" max="11532" width="12.140625" bestFit="1" customWidth="1"/>
    <col min="11536" max="11536" width="13.5703125" bestFit="1" customWidth="1"/>
    <col min="11537" max="11537" width="16.42578125" bestFit="1" customWidth="1"/>
    <col min="11538" max="11538" width="17.140625" bestFit="1" customWidth="1"/>
    <col min="11539" max="11539" width="17.5703125" bestFit="1" customWidth="1"/>
    <col min="11774" max="11774" width="85.42578125" customWidth="1"/>
    <col min="11776" max="11776" width="15.140625" customWidth="1"/>
    <col min="11777" max="11777" width="11.42578125" customWidth="1"/>
    <col min="11778" max="11778" width="12.5703125" bestFit="1" customWidth="1"/>
    <col min="11783" max="11783" width="20.5703125" bestFit="1" customWidth="1"/>
    <col min="11784" max="11784" width="12.85546875" bestFit="1" customWidth="1"/>
    <col min="11785" max="11785" width="16.42578125" bestFit="1" customWidth="1"/>
    <col min="11786" max="11786" width="18.5703125" bestFit="1" customWidth="1"/>
    <col min="11787" max="11787" width="15" bestFit="1" customWidth="1"/>
    <col min="11788" max="11788" width="12.140625" bestFit="1" customWidth="1"/>
    <col min="11792" max="11792" width="13.5703125" bestFit="1" customWidth="1"/>
    <col min="11793" max="11793" width="16.42578125" bestFit="1" customWidth="1"/>
    <col min="11794" max="11794" width="17.140625" bestFit="1" customWidth="1"/>
    <col min="11795" max="11795" width="17.5703125" bestFit="1" customWidth="1"/>
    <col min="12030" max="12030" width="85.42578125" customWidth="1"/>
    <col min="12032" max="12032" width="15.140625" customWidth="1"/>
    <col min="12033" max="12033" width="11.42578125" customWidth="1"/>
    <col min="12034" max="12034" width="12.5703125" bestFit="1" customWidth="1"/>
    <col min="12039" max="12039" width="20.5703125" bestFit="1" customWidth="1"/>
    <col min="12040" max="12040" width="12.85546875" bestFit="1" customWidth="1"/>
    <col min="12041" max="12041" width="16.42578125" bestFit="1" customWidth="1"/>
    <col min="12042" max="12042" width="18.5703125" bestFit="1" customWidth="1"/>
    <col min="12043" max="12043" width="15" bestFit="1" customWidth="1"/>
    <col min="12044" max="12044" width="12.140625" bestFit="1" customWidth="1"/>
    <col min="12048" max="12048" width="13.5703125" bestFit="1" customWidth="1"/>
    <col min="12049" max="12049" width="16.42578125" bestFit="1" customWidth="1"/>
    <col min="12050" max="12050" width="17.140625" bestFit="1" customWidth="1"/>
    <col min="12051" max="12051" width="17.5703125" bestFit="1" customWidth="1"/>
    <col min="12286" max="12286" width="85.42578125" customWidth="1"/>
    <col min="12288" max="12288" width="15.140625" customWidth="1"/>
    <col min="12289" max="12289" width="11.42578125" customWidth="1"/>
    <col min="12290" max="12290" width="12.5703125" bestFit="1" customWidth="1"/>
    <col min="12295" max="12295" width="20.5703125" bestFit="1" customWidth="1"/>
    <col min="12296" max="12296" width="12.85546875" bestFit="1" customWidth="1"/>
    <col min="12297" max="12297" width="16.42578125" bestFit="1" customWidth="1"/>
    <col min="12298" max="12298" width="18.5703125" bestFit="1" customWidth="1"/>
    <col min="12299" max="12299" width="15" bestFit="1" customWidth="1"/>
    <col min="12300" max="12300" width="12.140625" bestFit="1" customWidth="1"/>
    <col min="12304" max="12304" width="13.5703125" bestFit="1" customWidth="1"/>
    <col min="12305" max="12305" width="16.42578125" bestFit="1" customWidth="1"/>
    <col min="12306" max="12306" width="17.140625" bestFit="1" customWidth="1"/>
    <col min="12307" max="12307" width="17.5703125" bestFit="1" customWidth="1"/>
    <col min="12542" max="12542" width="85.42578125" customWidth="1"/>
    <col min="12544" max="12544" width="15.140625" customWidth="1"/>
    <col min="12545" max="12545" width="11.42578125" customWidth="1"/>
    <col min="12546" max="12546" width="12.5703125" bestFit="1" customWidth="1"/>
    <col min="12551" max="12551" width="20.5703125" bestFit="1" customWidth="1"/>
    <col min="12552" max="12552" width="12.85546875" bestFit="1" customWidth="1"/>
    <col min="12553" max="12553" width="16.42578125" bestFit="1" customWidth="1"/>
    <col min="12554" max="12554" width="18.5703125" bestFit="1" customWidth="1"/>
    <col min="12555" max="12555" width="15" bestFit="1" customWidth="1"/>
    <col min="12556" max="12556" width="12.140625" bestFit="1" customWidth="1"/>
    <col min="12560" max="12560" width="13.5703125" bestFit="1" customWidth="1"/>
    <col min="12561" max="12561" width="16.42578125" bestFit="1" customWidth="1"/>
    <col min="12562" max="12562" width="17.140625" bestFit="1" customWidth="1"/>
    <col min="12563" max="12563" width="17.5703125" bestFit="1" customWidth="1"/>
    <col min="12798" max="12798" width="85.42578125" customWidth="1"/>
    <col min="12800" max="12800" width="15.140625" customWidth="1"/>
    <col min="12801" max="12801" width="11.42578125" customWidth="1"/>
    <col min="12802" max="12802" width="12.5703125" bestFit="1" customWidth="1"/>
    <col min="12807" max="12807" width="20.5703125" bestFit="1" customWidth="1"/>
    <col min="12808" max="12808" width="12.85546875" bestFit="1" customWidth="1"/>
    <col min="12809" max="12809" width="16.42578125" bestFit="1" customWidth="1"/>
    <col min="12810" max="12810" width="18.5703125" bestFit="1" customWidth="1"/>
    <col min="12811" max="12811" width="15" bestFit="1" customWidth="1"/>
    <col min="12812" max="12812" width="12.140625" bestFit="1" customWidth="1"/>
    <col min="12816" max="12816" width="13.5703125" bestFit="1" customWidth="1"/>
    <col min="12817" max="12817" width="16.42578125" bestFit="1" customWidth="1"/>
    <col min="12818" max="12818" width="17.140625" bestFit="1" customWidth="1"/>
    <col min="12819" max="12819" width="17.5703125" bestFit="1" customWidth="1"/>
    <col min="13054" max="13054" width="85.42578125" customWidth="1"/>
    <col min="13056" max="13056" width="15.140625" customWidth="1"/>
    <col min="13057" max="13057" width="11.42578125" customWidth="1"/>
    <col min="13058" max="13058" width="12.5703125" bestFit="1" customWidth="1"/>
    <col min="13063" max="13063" width="20.5703125" bestFit="1" customWidth="1"/>
    <col min="13064" max="13064" width="12.85546875" bestFit="1" customWidth="1"/>
    <col min="13065" max="13065" width="16.42578125" bestFit="1" customWidth="1"/>
    <col min="13066" max="13066" width="18.5703125" bestFit="1" customWidth="1"/>
    <col min="13067" max="13067" width="15" bestFit="1" customWidth="1"/>
    <col min="13068" max="13068" width="12.140625" bestFit="1" customWidth="1"/>
    <col min="13072" max="13072" width="13.5703125" bestFit="1" customWidth="1"/>
    <col min="13073" max="13073" width="16.42578125" bestFit="1" customWidth="1"/>
    <col min="13074" max="13074" width="17.140625" bestFit="1" customWidth="1"/>
    <col min="13075" max="13075" width="17.5703125" bestFit="1" customWidth="1"/>
    <col min="13310" max="13310" width="85.42578125" customWidth="1"/>
    <col min="13312" max="13312" width="15.140625" customWidth="1"/>
    <col min="13313" max="13313" width="11.42578125" customWidth="1"/>
    <col min="13314" max="13314" width="12.5703125" bestFit="1" customWidth="1"/>
    <col min="13319" max="13319" width="20.5703125" bestFit="1" customWidth="1"/>
    <col min="13320" max="13320" width="12.85546875" bestFit="1" customWidth="1"/>
    <col min="13321" max="13321" width="16.42578125" bestFit="1" customWidth="1"/>
    <col min="13322" max="13322" width="18.5703125" bestFit="1" customWidth="1"/>
    <col min="13323" max="13323" width="15" bestFit="1" customWidth="1"/>
    <col min="13324" max="13324" width="12.140625" bestFit="1" customWidth="1"/>
    <col min="13328" max="13328" width="13.5703125" bestFit="1" customWidth="1"/>
    <col min="13329" max="13329" width="16.42578125" bestFit="1" customWidth="1"/>
    <col min="13330" max="13330" width="17.140625" bestFit="1" customWidth="1"/>
    <col min="13331" max="13331" width="17.5703125" bestFit="1" customWidth="1"/>
    <col min="13566" max="13566" width="85.42578125" customWidth="1"/>
    <col min="13568" max="13568" width="15.140625" customWidth="1"/>
    <col min="13569" max="13569" width="11.42578125" customWidth="1"/>
    <col min="13570" max="13570" width="12.5703125" bestFit="1" customWidth="1"/>
    <col min="13575" max="13575" width="20.5703125" bestFit="1" customWidth="1"/>
    <col min="13576" max="13576" width="12.85546875" bestFit="1" customWidth="1"/>
    <col min="13577" max="13577" width="16.42578125" bestFit="1" customWidth="1"/>
    <col min="13578" max="13578" width="18.5703125" bestFit="1" customWidth="1"/>
    <col min="13579" max="13579" width="15" bestFit="1" customWidth="1"/>
    <col min="13580" max="13580" width="12.140625" bestFit="1" customWidth="1"/>
    <col min="13584" max="13584" width="13.5703125" bestFit="1" customWidth="1"/>
    <col min="13585" max="13585" width="16.42578125" bestFit="1" customWidth="1"/>
    <col min="13586" max="13586" width="17.140625" bestFit="1" customWidth="1"/>
    <col min="13587" max="13587" width="17.5703125" bestFit="1" customWidth="1"/>
    <col min="13822" max="13822" width="85.42578125" customWidth="1"/>
    <col min="13824" max="13824" width="15.140625" customWidth="1"/>
    <col min="13825" max="13825" width="11.42578125" customWidth="1"/>
    <col min="13826" max="13826" width="12.5703125" bestFit="1" customWidth="1"/>
    <col min="13831" max="13831" width="20.5703125" bestFit="1" customWidth="1"/>
    <col min="13832" max="13832" width="12.85546875" bestFit="1" customWidth="1"/>
    <col min="13833" max="13833" width="16.42578125" bestFit="1" customWidth="1"/>
    <col min="13834" max="13834" width="18.5703125" bestFit="1" customWidth="1"/>
    <col min="13835" max="13835" width="15" bestFit="1" customWidth="1"/>
    <col min="13836" max="13836" width="12.140625" bestFit="1" customWidth="1"/>
    <col min="13840" max="13840" width="13.5703125" bestFit="1" customWidth="1"/>
    <col min="13841" max="13841" width="16.42578125" bestFit="1" customWidth="1"/>
    <col min="13842" max="13842" width="17.140625" bestFit="1" customWidth="1"/>
    <col min="13843" max="13843" width="17.5703125" bestFit="1" customWidth="1"/>
    <col min="14078" max="14078" width="85.42578125" customWidth="1"/>
    <col min="14080" max="14080" width="15.140625" customWidth="1"/>
    <col min="14081" max="14081" width="11.42578125" customWidth="1"/>
    <col min="14082" max="14082" width="12.5703125" bestFit="1" customWidth="1"/>
    <col min="14087" max="14087" width="20.5703125" bestFit="1" customWidth="1"/>
    <col min="14088" max="14088" width="12.85546875" bestFit="1" customWidth="1"/>
    <col min="14089" max="14089" width="16.42578125" bestFit="1" customWidth="1"/>
    <col min="14090" max="14090" width="18.5703125" bestFit="1" customWidth="1"/>
    <col min="14091" max="14091" width="15" bestFit="1" customWidth="1"/>
    <col min="14092" max="14092" width="12.140625" bestFit="1" customWidth="1"/>
    <col min="14096" max="14096" width="13.5703125" bestFit="1" customWidth="1"/>
    <col min="14097" max="14097" width="16.42578125" bestFit="1" customWidth="1"/>
    <col min="14098" max="14098" width="17.140625" bestFit="1" customWidth="1"/>
    <col min="14099" max="14099" width="17.5703125" bestFit="1" customWidth="1"/>
    <col min="14334" max="14334" width="85.42578125" customWidth="1"/>
    <col min="14336" max="14336" width="15.140625" customWidth="1"/>
    <col min="14337" max="14337" width="11.42578125" customWidth="1"/>
    <col min="14338" max="14338" width="12.5703125" bestFit="1" customWidth="1"/>
    <col min="14343" max="14343" width="20.5703125" bestFit="1" customWidth="1"/>
    <col min="14344" max="14344" width="12.85546875" bestFit="1" customWidth="1"/>
    <col min="14345" max="14345" width="16.42578125" bestFit="1" customWidth="1"/>
    <col min="14346" max="14346" width="18.5703125" bestFit="1" customWidth="1"/>
    <col min="14347" max="14347" width="15" bestFit="1" customWidth="1"/>
    <col min="14348" max="14348" width="12.140625" bestFit="1" customWidth="1"/>
    <col min="14352" max="14352" width="13.5703125" bestFit="1" customWidth="1"/>
    <col min="14353" max="14353" width="16.42578125" bestFit="1" customWidth="1"/>
    <col min="14354" max="14354" width="17.140625" bestFit="1" customWidth="1"/>
    <col min="14355" max="14355" width="17.5703125" bestFit="1" customWidth="1"/>
    <col min="14590" max="14590" width="85.42578125" customWidth="1"/>
    <col min="14592" max="14592" width="15.140625" customWidth="1"/>
    <col min="14593" max="14593" width="11.42578125" customWidth="1"/>
    <col min="14594" max="14594" width="12.5703125" bestFit="1" customWidth="1"/>
    <col min="14599" max="14599" width="20.5703125" bestFit="1" customWidth="1"/>
    <col min="14600" max="14600" width="12.85546875" bestFit="1" customWidth="1"/>
    <col min="14601" max="14601" width="16.42578125" bestFit="1" customWidth="1"/>
    <col min="14602" max="14602" width="18.5703125" bestFit="1" customWidth="1"/>
    <col min="14603" max="14603" width="15" bestFit="1" customWidth="1"/>
    <col min="14604" max="14604" width="12.140625" bestFit="1" customWidth="1"/>
    <col min="14608" max="14608" width="13.5703125" bestFit="1" customWidth="1"/>
    <col min="14609" max="14609" width="16.42578125" bestFit="1" customWidth="1"/>
    <col min="14610" max="14610" width="17.140625" bestFit="1" customWidth="1"/>
    <col min="14611" max="14611" width="17.5703125" bestFit="1" customWidth="1"/>
    <col min="14846" max="14846" width="85.42578125" customWidth="1"/>
    <col min="14848" max="14848" width="15.140625" customWidth="1"/>
    <col min="14849" max="14849" width="11.42578125" customWidth="1"/>
    <col min="14850" max="14850" width="12.5703125" bestFit="1" customWidth="1"/>
    <col min="14855" max="14855" width="20.5703125" bestFit="1" customWidth="1"/>
    <col min="14856" max="14856" width="12.85546875" bestFit="1" customWidth="1"/>
    <col min="14857" max="14857" width="16.42578125" bestFit="1" customWidth="1"/>
    <col min="14858" max="14858" width="18.5703125" bestFit="1" customWidth="1"/>
    <col min="14859" max="14859" width="15" bestFit="1" customWidth="1"/>
    <col min="14860" max="14860" width="12.140625" bestFit="1" customWidth="1"/>
    <col min="14864" max="14864" width="13.5703125" bestFit="1" customWidth="1"/>
    <col min="14865" max="14865" width="16.42578125" bestFit="1" customWidth="1"/>
    <col min="14866" max="14866" width="17.140625" bestFit="1" customWidth="1"/>
    <col min="14867" max="14867" width="17.5703125" bestFit="1" customWidth="1"/>
    <col min="15102" max="15102" width="85.42578125" customWidth="1"/>
    <col min="15104" max="15104" width="15.140625" customWidth="1"/>
    <col min="15105" max="15105" width="11.42578125" customWidth="1"/>
    <col min="15106" max="15106" width="12.5703125" bestFit="1" customWidth="1"/>
    <col min="15111" max="15111" width="20.5703125" bestFit="1" customWidth="1"/>
    <col min="15112" max="15112" width="12.85546875" bestFit="1" customWidth="1"/>
    <col min="15113" max="15113" width="16.42578125" bestFit="1" customWidth="1"/>
    <col min="15114" max="15114" width="18.5703125" bestFit="1" customWidth="1"/>
    <col min="15115" max="15115" width="15" bestFit="1" customWidth="1"/>
    <col min="15116" max="15116" width="12.140625" bestFit="1" customWidth="1"/>
    <col min="15120" max="15120" width="13.5703125" bestFit="1" customWidth="1"/>
    <col min="15121" max="15121" width="16.42578125" bestFit="1" customWidth="1"/>
    <col min="15122" max="15122" width="17.140625" bestFit="1" customWidth="1"/>
    <col min="15123" max="15123" width="17.5703125" bestFit="1" customWidth="1"/>
    <col min="15358" max="15358" width="85.42578125" customWidth="1"/>
    <col min="15360" max="15360" width="15.140625" customWidth="1"/>
    <col min="15361" max="15361" width="11.42578125" customWidth="1"/>
    <col min="15362" max="15362" width="12.5703125" bestFit="1" customWidth="1"/>
    <col min="15367" max="15367" width="20.5703125" bestFit="1" customWidth="1"/>
    <col min="15368" max="15368" width="12.85546875" bestFit="1" customWidth="1"/>
    <col min="15369" max="15369" width="16.42578125" bestFit="1" customWidth="1"/>
    <col min="15370" max="15370" width="18.5703125" bestFit="1" customWidth="1"/>
    <col min="15371" max="15371" width="15" bestFit="1" customWidth="1"/>
    <col min="15372" max="15372" width="12.140625" bestFit="1" customWidth="1"/>
    <col min="15376" max="15376" width="13.5703125" bestFit="1" customWidth="1"/>
    <col min="15377" max="15377" width="16.42578125" bestFit="1" customWidth="1"/>
    <col min="15378" max="15378" width="17.140625" bestFit="1" customWidth="1"/>
    <col min="15379" max="15379" width="17.5703125" bestFit="1" customWidth="1"/>
    <col min="15614" max="15614" width="85.42578125" customWidth="1"/>
    <col min="15616" max="15616" width="15.140625" customWidth="1"/>
    <col min="15617" max="15617" width="11.42578125" customWidth="1"/>
    <col min="15618" max="15618" width="12.5703125" bestFit="1" customWidth="1"/>
    <col min="15623" max="15623" width="20.5703125" bestFit="1" customWidth="1"/>
    <col min="15624" max="15624" width="12.85546875" bestFit="1" customWidth="1"/>
    <col min="15625" max="15625" width="16.42578125" bestFit="1" customWidth="1"/>
    <col min="15626" max="15626" width="18.5703125" bestFit="1" customWidth="1"/>
    <col min="15627" max="15627" width="15" bestFit="1" customWidth="1"/>
    <col min="15628" max="15628" width="12.140625" bestFit="1" customWidth="1"/>
    <col min="15632" max="15632" width="13.5703125" bestFit="1" customWidth="1"/>
    <col min="15633" max="15633" width="16.42578125" bestFit="1" customWidth="1"/>
    <col min="15634" max="15634" width="17.140625" bestFit="1" customWidth="1"/>
    <col min="15635" max="15635" width="17.5703125" bestFit="1" customWidth="1"/>
    <col min="15870" max="15870" width="85.42578125" customWidth="1"/>
    <col min="15872" max="15872" width="15.140625" customWidth="1"/>
    <col min="15873" max="15873" width="11.42578125" customWidth="1"/>
    <col min="15874" max="15874" width="12.5703125" bestFit="1" customWidth="1"/>
    <col min="15879" max="15879" width="20.5703125" bestFit="1" customWidth="1"/>
    <col min="15880" max="15880" width="12.85546875" bestFit="1" customWidth="1"/>
    <col min="15881" max="15881" width="16.42578125" bestFit="1" customWidth="1"/>
    <col min="15882" max="15882" width="18.5703125" bestFit="1" customWidth="1"/>
    <col min="15883" max="15883" width="15" bestFit="1" customWidth="1"/>
    <col min="15884" max="15884" width="12.140625" bestFit="1" customWidth="1"/>
    <col min="15888" max="15888" width="13.5703125" bestFit="1" customWidth="1"/>
    <col min="15889" max="15889" width="16.42578125" bestFit="1" customWidth="1"/>
    <col min="15890" max="15890" width="17.140625" bestFit="1" customWidth="1"/>
    <col min="15891" max="15891" width="17.5703125" bestFit="1" customWidth="1"/>
    <col min="16126" max="16126" width="85.42578125" customWidth="1"/>
    <col min="16128" max="16128" width="15.140625" customWidth="1"/>
    <col min="16129" max="16129" width="11.42578125" customWidth="1"/>
    <col min="16130" max="16130" width="12.5703125" bestFit="1" customWidth="1"/>
    <col min="16135" max="16135" width="20.5703125" bestFit="1" customWidth="1"/>
    <col min="16136" max="16136" width="12.85546875" bestFit="1" customWidth="1"/>
    <col min="16137" max="16137" width="16.42578125" bestFit="1" customWidth="1"/>
    <col min="16138" max="16138" width="18.5703125" bestFit="1" customWidth="1"/>
    <col min="16139" max="16139" width="15" bestFit="1" customWidth="1"/>
    <col min="16140" max="16140" width="12.140625" bestFit="1" customWidth="1"/>
    <col min="16144" max="16144" width="13.5703125" bestFit="1" customWidth="1"/>
    <col min="16145" max="16145" width="16.42578125" bestFit="1" customWidth="1"/>
    <col min="16146" max="16146" width="17.140625" bestFit="1" customWidth="1"/>
    <col min="16147" max="16147" width="17.5703125" bestFit="1" customWidth="1"/>
  </cols>
  <sheetData>
    <row r="1" spans="1:22" x14ac:dyDescent="0.25">
      <c r="A1" s="12"/>
      <c r="B1" s="13"/>
      <c r="C1" s="12"/>
      <c r="D1" s="12"/>
      <c r="E1" s="12"/>
      <c r="F1" s="13"/>
      <c r="G1" s="12"/>
      <c r="H1" s="9"/>
      <c r="I1" s="10"/>
      <c r="J1" s="11"/>
      <c r="K1" s="14"/>
    </row>
    <row r="2" spans="1:22" x14ac:dyDescent="0.25">
      <c r="A2" s="12"/>
      <c r="B2" s="12"/>
      <c r="C2" s="12"/>
      <c r="D2" s="12"/>
      <c r="E2" s="12"/>
      <c r="F2" s="13"/>
      <c r="G2" s="12"/>
      <c r="H2" s="10"/>
      <c r="I2" s="10"/>
      <c r="J2" s="11"/>
      <c r="K2" s="14"/>
    </row>
    <row r="8" spans="1:22" x14ac:dyDescent="0.25">
      <c r="A8" s="262" t="s">
        <v>75</v>
      </c>
      <c r="B8" s="262"/>
      <c r="C8" s="262"/>
      <c r="D8" s="262"/>
      <c r="E8" s="262"/>
      <c r="F8" s="262"/>
      <c r="G8" s="262"/>
      <c r="H8" s="262"/>
      <c r="I8" s="262"/>
      <c r="J8" s="262"/>
      <c r="K8" s="262"/>
      <c r="L8" s="262"/>
      <c r="M8" s="262"/>
      <c r="N8" s="262"/>
      <c r="O8" s="262"/>
      <c r="P8" s="262"/>
      <c r="Q8" s="262"/>
      <c r="R8" s="262"/>
    </row>
    <row r="9" spans="1:22" ht="25.5" customHeight="1" x14ac:dyDescent="0.25">
      <c r="A9" s="263" t="s">
        <v>15</v>
      </c>
      <c r="B9" s="263" t="s">
        <v>16</v>
      </c>
      <c r="C9" s="16" t="s">
        <v>41</v>
      </c>
      <c r="D9" s="16" t="s">
        <v>45</v>
      </c>
      <c r="E9" s="16" t="s">
        <v>46</v>
      </c>
      <c r="F9" s="16" t="s">
        <v>50</v>
      </c>
      <c r="G9" s="16" t="s">
        <v>51</v>
      </c>
      <c r="H9" s="16" t="s">
        <v>52</v>
      </c>
      <c r="I9" s="16" t="s">
        <v>53</v>
      </c>
      <c r="J9" s="16" t="s">
        <v>54</v>
      </c>
      <c r="K9" s="16" t="s">
        <v>55</v>
      </c>
      <c r="L9" s="16" t="s">
        <v>57</v>
      </c>
      <c r="M9" s="16" t="s">
        <v>58</v>
      </c>
      <c r="N9" s="16" t="s">
        <v>59</v>
      </c>
      <c r="O9" s="16" t="s">
        <v>60</v>
      </c>
      <c r="P9" s="16" t="s">
        <v>61</v>
      </c>
      <c r="Q9" s="17" t="s">
        <v>63</v>
      </c>
      <c r="R9" s="16" t="s">
        <v>62</v>
      </c>
      <c r="S9" s="17" t="s">
        <v>17</v>
      </c>
      <c r="T9" s="18"/>
      <c r="U9" s="6"/>
      <c r="V9" s="6"/>
    </row>
    <row r="10" spans="1:22" x14ac:dyDescent="0.25">
      <c r="A10" s="263"/>
      <c r="B10" s="263"/>
      <c r="C10" s="33">
        <v>28516</v>
      </c>
      <c r="D10" s="33">
        <v>2817</v>
      </c>
      <c r="E10" s="33">
        <v>3102</v>
      </c>
      <c r="F10" s="33">
        <v>3102</v>
      </c>
      <c r="G10" s="33">
        <v>41579</v>
      </c>
      <c r="H10" s="33">
        <v>15868</v>
      </c>
      <c r="I10" s="33">
        <v>612</v>
      </c>
      <c r="J10" s="33">
        <v>121</v>
      </c>
      <c r="K10" s="33">
        <v>108</v>
      </c>
      <c r="L10" s="33">
        <v>498</v>
      </c>
      <c r="M10" s="33">
        <v>49</v>
      </c>
      <c r="N10" s="33">
        <v>307</v>
      </c>
      <c r="O10" s="33">
        <v>20</v>
      </c>
      <c r="P10" s="33">
        <v>65</v>
      </c>
      <c r="Q10" s="20">
        <v>45730</v>
      </c>
      <c r="R10" s="19">
        <v>795</v>
      </c>
      <c r="S10" s="17">
        <f>SUM(C10:R10)</f>
        <v>143289</v>
      </c>
      <c r="T10" s="34">
        <f>S10</f>
        <v>143289</v>
      </c>
      <c r="U10" s="35">
        <f>_xlfn.CEILING.PRECISE(T10,1)</f>
        <v>143289</v>
      </c>
      <c r="V10" s="6"/>
    </row>
    <row r="11" spans="1:22" x14ac:dyDescent="0.25">
      <c r="A11" s="29" t="s">
        <v>19</v>
      </c>
      <c r="B11" s="28" t="s">
        <v>7</v>
      </c>
      <c r="C11" s="30">
        <f>C10</f>
        <v>28516</v>
      </c>
      <c r="D11" s="30">
        <f t="shared" ref="D11:Q11" si="0">D10</f>
        <v>2817</v>
      </c>
      <c r="E11" s="30">
        <f>E10</f>
        <v>3102</v>
      </c>
      <c r="F11" s="30">
        <f>F10</f>
        <v>3102</v>
      </c>
      <c r="G11" s="30">
        <f t="shared" si="0"/>
        <v>41579</v>
      </c>
      <c r="H11" s="30">
        <f t="shared" si="0"/>
        <v>15868</v>
      </c>
      <c r="I11" s="30">
        <f t="shared" si="0"/>
        <v>612</v>
      </c>
      <c r="J11" s="30">
        <f t="shared" si="0"/>
        <v>121</v>
      </c>
      <c r="K11" s="30">
        <f t="shared" si="0"/>
        <v>108</v>
      </c>
      <c r="L11" s="30">
        <f t="shared" si="0"/>
        <v>498</v>
      </c>
      <c r="M11" s="30">
        <f t="shared" si="0"/>
        <v>49</v>
      </c>
      <c r="N11" s="30">
        <f>N10</f>
        <v>307</v>
      </c>
      <c r="O11" s="30">
        <f>O10</f>
        <v>20</v>
      </c>
      <c r="P11" s="30">
        <f>P10</f>
        <v>65</v>
      </c>
      <c r="Q11" s="30">
        <f t="shared" si="0"/>
        <v>45730</v>
      </c>
      <c r="R11" s="30">
        <f>R10</f>
        <v>795</v>
      </c>
      <c r="S11" s="17">
        <f>SUM(C11:R11)</f>
        <v>143289</v>
      </c>
      <c r="T11" s="34">
        <f t="shared" ref="T11:T31" si="1">S11</f>
        <v>143289</v>
      </c>
      <c r="U11" s="35">
        <f t="shared" ref="U11:U31" si="2">_xlfn.CEILING.PRECISE(T11,1)</f>
        <v>143289</v>
      </c>
      <c r="V11" s="6"/>
    </row>
    <row r="12" spans="1:22" ht="25.5" x14ac:dyDescent="0.25">
      <c r="A12" s="29" t="s">
        <v>20</v>
      </c>
      <c r="B12" s="28" t="s">
        <v>21</v>
      </c>
      <c r="C12" s="30">
        <f>0.55*0.4*C10</f>
        <v>6273.52</v>
      </c>
      <c r="D12" s="30">
        <f>0.7*0.55*D10</f>
        <v>1084.5450000000001</v>
      </c>
      <c r="E12" s="30">
        <f>0.7*0.85*E10</f>
        <v>1845.6899999999998</v>
      </c>
      <c r="F12" s="30">
        <f>0.7*0.85*F10</f>
        <v>1845.6899999999998</v>
      </c>
      <c r="G12" s="30">
        <f>0.7*0.95*G10</f>
        <v>27650.034999999996</v>
      </c>
      <c r="H12" s="30">
        <f>0.7*1.05*H10</f>
        <v>11662.98</v>
      </c>
      <c r="I12" s="30">
        <f>0.7*1.15*I10</f>
        <v>492.65999999999997</v>
      </c>
      <c r="J12" s="30">
        <f>0.7*1.25*J10</f>
        <v>105.875</v>
      </c>
      <c r="K12" s="30">
        <f>0.7*1*K10</f>
        <v>75.599999999999994</v>
      </c>
      <c r="L12" s="30">
        <f>0.7*1*L10</f>
        <v>348.59999999999997</v>
      </c>
      <c r="M12" s="30">
        <f>0.8*1*M10</f>
        <v>39.200000000000003</v>
      </c>
      <c r="N12" s="30">
        <f>0.8*1*N10</f>
        <v>245.60000000000002</v>
      </c>
      <c r="O12" s="30">
        <f>0.8*1.2*O10</f>
        <v>19.2</v>
      </c>
      <c r="P12" s="30">
        <f>0.8*1.2*P10</f>
        <v>62.4</v>
      </c>
      <c r="Q12" s="30">
        <f>0.4*0.6*Q10</f>
        <v>10975.199999999999</v>
      </c>
      <c r="R12" s="31">
        <f>0.4*0.6*R10</f>
        <v>190.79999999999998</v>
      </c>
      <c r="S12" s="17">
        <f t="shared" ref="S12:S27" si="3">SUM(C12:R12)</f>
        <v>62917.594999999987</v>
      </c>
      <c r="T12" s="34">
        <f t="shared" si="1"/>
        <v>62917.594999999987</v>
      </c>
      <c r="U12" s="35">
        <f t="shared" si="2"/>
        <v>62918</v>
      </c>
      <c r="V12" s="6"/>
    </row>
    <row r="13" spans="1:22" x14ac:dyDescent="0.25">
      <c r="A13" s="29" t="s">
        <v>22</v>
      </c>
      <c r="B13" s="28" t="s">
        <v>21</v>
      </c>
      <c r="C13" s="30">
        <f>C10</f>
        <v>28516</v>
      </c>
      <c r="D13" s="30">
        <f t="shared" ref="D13:Q13" si="4">D10</f>
        <v>2817</v>
      </c>
      <c r="E13" s="30">
        <f>E10</f>
        <v>3102</v>
      </c>
      <c r="F13" s="30">
        <f>F10</f>
        <v>3102</v>
      </c>
      <c r="G13" s="30">
        <f t="shared" si="4"/>
        <v>41579</v>
      </c>
      <c r="H13" s="30">
        <f t="shared" si="4"/>
        <v>15868</v>
      </c>
      <c r="I13" s="30">
        <f t="shared" si="4"/>
        <v>612</v>
      </c>
      <c r="J13" s="30">
        <f t="shared" si="4"/>
        <v>121</v>
      </c>
      <c r="K13" s="30">
        <f t="shared" si="4"/>
        <v>108</v>
      </c>
      <c r="L13" s="30">
        <f t="shared" si="4"/>
        <v>498</v>
      </c>
      <c r="M13" s="30">
        <f t="shared" si="4"/>
        <v>49</v>
      </c>
      <c r="N13" s="30">
        <f>N10</f>
        <v>307</v>
      </c>
      <c r="O13" s="30">
        <f>O10</f>
        <v>20</v>
      </c>
      <c r="P13" s="30">
        <f>P10</f>
        <v>65</v>
      </c>
      <c r="Q13" s="30">
        <f t="shared" si="4"/>
        <v>45730</v>
      </c>
      <c r="R13" s="30">
        <f>R10</f>
        <v>795</v>
      </c>
      <c r="S13" s="17">
        <f t="shared" si="3"/>
        <v>143289</v>
      </c>
      <c r="T13" s="34">
        <f t="shared" si="1"/>
        <v>143289</v>
      </c>
      <c r="U13" s="35">
        <f t="shared" si="2"/>
        <v>143289</v>
      </c>
      <c r="V13" s="6"/>
    </row>
    <row r="14" spans="1:22" ht="25.5" x14ac:dyDescent="0.25">
      <c r="A14" s="29" t="s">
        <v>43</v>
      </c>
      <c r="B14" s="28" t="s">
        <v>44</v>
      </c>
      <c r="C14" s="30">
        <f>0.4*0.4*C10</f>
        <v>4562.5600000000013</v>
      </c>
      <c r="D14" s="30">
        <f>0.4*0.7*D10</f>
        <v>788.75999999999988</v>
      </c>
      <c r="E14" s="30">
        <f>0.4*0.7*E10</f>
        <v>868.56</v>
      </c>
      <c r="F14" s="30">
        <f>0.4*0.7*F10</f>
        <v>868.56</v>
      </c>
      <c r="G14" s="30">
        <f>0.4*0.7*G10</f>
        <v>11642.119999999999</v>
      </c>
      <c r="H14" s="30">
        <f>0.4*0.7*H10</f>
        <v>4443.04</v>
      </c>
      <c r="I14" s="30">
        <f>0.7*0.4*I10</f>
        <v>171.35999999999999</v>
      </c>
      <c r="J14" s="30">
        <f>0.7*0.4*J10</f>
        <v>33.879999999999995</v>
      </c>
      <c r="K14" s="30">
        <f>((0.7*0.4*K10)-((0.00311725*3)*K10))</f>
        <v>29.230010999999998</v>
      </c>
      <c r="L14" s="30">
        <f>((0.7*0.4*L10)-((0.00311725*3)*L10))</f>
        <v>134.78282849999999</v>
      </c>
      <c r="M14" s="30">
        <f>((0.8*0.4*M10)-((0.00311725*4)*M10))</f>
        <v>15.069019000000003</v>
      </c>
      <c r="N14" s="30">
        <f>((0.8*0.4*N10)-((0.00311725*4)*N10))</f>
        <v>94.41201700000002</v>
      </c>
      <c r="O14" s="30">
        <f>((0.8*0.51*O10)-((0.00311725*4)*O10))</f>
        <v>7.9106199999999998</v>
      </c>
      <c r="P14" s="30">
        <f>((0.8*0.51*P10)-((0.00311725*4)*P10))</f>
        <v>25.709515000000003</v>
      </c>
      <c r="Q14" s="30">
        <f>((0.55*0.4*Q10)-((0.00311725*2)*Q10))</f>
        <v>9775.4963150000021</v>
      </c>
      <c r="R14" s="30">
        <f>(0.35*0.4*R10)-((0.00311725*2)*R10)</f>
        <v>106.34357249999998</v>
      </c>
      <c r="S14" s="17">
        <f t="shared" si="3"/>
        <v>33567.793897999996</v>
      </c>
      <c r="T14" s="34">
        <f t="shared" si="1"/>
        <v>33567.793897999996</v>
      </c>
      <c r="U14" s="35">
        <f t="shared" si="2"/>
        <v>33568</v>
      </c>
      <c r="V14" s="6"/>
    </row>
    <row r="15" spans="1:22" ht="25.5" x14ac:dyDescent="0.25">
      <c r="A15" s="29" t="s">
        <v>23</v>
      </c>
      <c r="B15" s="28" t="s">
        <v>21</v>
      </c>
      <c r="C15" s="30">
        <f>((0.4*0.15*C10)-((0.001134*2)*C10))</f>
        <v>1646.2857120000001</v>
      </c>
      <c r="D15" s="32">
        <f>((0.7*0.12*D10)-((0.001134*4)*D10))</f>
        <v>223.85008799999997</v>
      </c>
      <c r="E15" s="32">
        <f>((0.7*0.45*E10)-(((0.001134*3)+(0.00311725*1)+(0.00173495*8))*E10))</f>
        <v>913.85276729999998</v>
      </c>
      <c r="F15" s="32">
        <f>((0.7*0.45*F10)-(((0.001134*7)+(0.00311725*1))*F10))</f>
        <v>942.8366145</v>
      </c>
      <c r="G15" s="30">
        <f>((0.7*0.55*G10)-(((0.001134*7)+(0.00311725*1)+(0.00173495*8))*G10))</f>
        <v>14971.14887185</v>
      </c>
      <c r="H15" s="30">
        <f>((0.7*0.65*H10)-(((0.001134*7)+(0.00311725*1)+(0.00173495*16))*H10))</f>
        <v>6604.0323073999998</v>
      </c>
      <c r="I15" s="30">
        <f>((0.7*0.65*I10)-(((0.001134*7)+(0.00311725*1)+(0.00173495*24))*I10))</f>
        <v>246.21124139999998</v>
      </c>
      <c r="J15" s="30">
        <f>((0.7*0.65*J10)-(((0.001134*7)+(0.00311725*1)+(0.00173495*32))*J10))</f>
        <v>46.999588349999996</v>
      </c>
      <c r="K15" s="30">
        <f>((0.7*0.65*K10)-((0.0201*6)*K10))</f>
        <v>36.115199999999994</v>
      </c>
      <c r="L15" s="30">
        <f>((0.7*0.65*L10)-((0.0201*6)*L10))</f>
        <v>166.53119999999998</v>
      </c>
      <c r="M15" s="30">
        <f>((0.8*0.51*M10)-((0.0201*8)*M10))</f>
        <v>12.1128</v>
      </c>
      <c r="N15" s="30">
        <f>((0.8*0.51*N10)-((0.0201*8)*N10))</f>
        <v>75.890400000000014</v>
      </c>
      <c r="O15" s="30">
        <f>((0.8*0.69*O10)-((0.0201*12)*O10))</f>
        <v>6.2159999999999993</v>
      </c>
      <c r="P15" s="30">
        <f>((0.8*0.69*P10)-((0.0201*12)*P10))</f>
        <v>20.201999999999998</v>
      </c>
      <c r="Q15" s="30">
        <f>0.4*0.05*Q10</f>
        <v>914.60000000000014</v>
      </c>
      <c r="R15" s="30">
        <f>0.4*0.05*R10</f>
        <v>15.900000000000004</v>
      </c>
      <c r="S15" s="17">
        <f t="shared" si="3"/>
        <v>26842.784790800004</v>
      </c>
      <c r="T15" s="34">
        <f t="shared" si="1"/>
        <v>26842.784790800004</v>
      </c>
      <c r="U15" s="35">
        <f t="shared" si="2"/>
        <v>26843</v>
      </c>
      <c r="V15" s="6"/>
    </row>
    <row r="16" spans="1:22" x14ac:dyDescent="0.25">
      <c r="A16" s="29" t="s">
        <v>24</v>
      </c>
      <c r="B16" s="28" t="s">
        <v>21</v>
      </c>
      <c r="C16" s="30">
        <f t="shared" ref="C16:L16" si="5">C12-C15</f>
        <v>4627.2342880000006</v>
      </c>
      <c r="D16" s="30">
        <f t="shared" si="5"/>
        <v>860.69491200000016</v>
      </c>
      <c r="E16" s="32">
        <f t="shared" si="5"/>
        <v>931.83723269999984</v>
      </c>
      <c r="F16" s="32">
        <f t="shared" si="5"/>
        <v>902.85338549999983</v>
      </c>
      <c r="G16" s="32">
        <f t="shared" si="5"/>
        <v>12678.886128149996</v>
      </c>
      <c r="H16" s="32">
        <f t="shared" si="5"/>
        <v>5058.9476925999998</v>
      </c>
      <c r="I16" s="32">
        <f t="shared" si="5"/>
        <v>246.44875859999999</v>
      </c>
      <c r="J16" s="32">
        <f t="shared" si="5"/>
        <v>58.875411650000004</v>
      </c>
      <c r="K16" s="32">
        <f t="shared" si="5"/>
        <v>39.4848</v>
      </c>
      <c r="L16" s="32">
        <f t="shared" si="5"/>
        <v>182.06879999999998</v>
      </c>
      <c r="M16" s="32">
        <f t="shared" ref="M16:R16" si="6">M12-M15</f>
        <v>27.087200000000003</v>
      </c>
      <c r="N16" s="32">
        <f t="shared" si="6"/>
        <v>169.70960000000002</v>
      </c>
      <c r="O16" s="32">
        <f t="shared" si="6"/>
        <v>12.984</v>
      </c>
      <c r="P16" s="32">
        <f t="shared" si="6"/>
        <v>42.198</v>
      </c>
      <c r="Q16" s="32">
        <f t="shared" si="6"/>
        <v>10060.599999999999</v>
      </c>
      <c r="R16" s="32">
        <f t="shared" si="6"/>
        <v>174.89999999999998</v>
      </c>
      <c r="S16" s="17">
        <f t="shared" si="3"/>
        <v>36074.810209199997</v>
      </c>
      <c r="T16" s="34">
        <f t="shared" si="1"/>
        <v>36074.810209199997</v>
      </c>
      <c r="U16" s="35">
        <f t="shared" si="2"/>
        <v>36075</v>
      </c>
      <c r="V16" s="6"/>
    </row>
    <row r="17" spans="1:22" s="22" customFormat="1" ht="25.5" x14ac:dyDescent="0.2">
      <c r="A17" s="29" t="s">
        <v>42</v>
      </c>
      <c r="B17" s="28" t="s">
        <v>7</v>
      </c>
      <c r="C17" s="31">
        <f>2*C10</f>
        <v>57032</v>
      </c>
      <c r="D17" s="31">
        <f>4*D10</f>
        <v>11268</v>
      </c>
      <c r="E17" s="31">
        <f>3*E10</f>
        <v>9306</v>
      </c>
      <c r="F17" s="31">
        <f>7*F10</f>
        <v>21714</v>
      </c>
      <c r="G17" s="31">
        <f>7*G10</f>
        <v>291053</v>
      </c>
      <c r="H17" s="31">
        <f>7*H10</f>
        <v>111076</v>
      </c>
      <c r="I17" s="31">
        <f>7*I10</f>
        <v>4284</v>
      </c>
      <c r="J17" s="31">
        <f>7*J10</f>
        <v>847</v>
      </c>
      <c r="K17" s="31"/>
      <c r="L17" s="31"/>
      <c r="M17" s="31"/>
      <c r="N17" s="31"/>
      <c r="O17" s="31"/>
      <c r="P17" s="31"/>
      <c r="Q17" s="31"/>
      <c r="R17" s="31"/>
      <c r="S17" s="17">
        <f t="shared" si="3"/>
        <v>506580</v>
      </c>
      <c r="T17" s="34">
        <f t="shared" si="1"/>
        <v>506580</v>
      </c>
      <c r="U17" s="35">
        <f t="shared" si="2"/>
        <v>506580</v>
      </c>
      <c r="V17" s="7"/>
    </row>
    <row r="18" spans="1:22" s="22" customFormat="1" ht="25.5" x14ac:dyDescent="0.2">
      <c r="A18" s="29" t="s">
        <v>48</v>
      </c>
      <c r="B18" s="28" t="s">
        <v>49</v>
      </c>
      <c r="C18" s="31"/>
      <c r="D18" s="31"/>
      <c r="E18" s="31">
        <f t="shared" ref="E18:J18" si="7">E10*1</f>
        <v>3102</v>
      </c>
      <c r="F18" s="31">
        <f t="shared" si="7"/>
        <v>3102</v>
      </c>
      <c r="G18" s="31">
        <f t="shared" si="7"/>
        <v>41579</v>
      </c>
      <c r="H18" s="31">
        <f t="shared" si="7"/>
        <v>15868</v>
      </c>
      <c r="I18" s="31">
        <f t="shared" si="7"/>
        <v>612</v>
      </c>
      <c r="J18" s="31">
        <f t="shared" si="7"/>
        <v>121</v>
      </c>
      <c r="K18" s="31">
        <f>K10*3</f>
        <v>324</v>
      </c>
      <c r="L18" s="31">
        <f>L10*3</f>
        <v>1494</v>
      </c>
      <c r="M18" s="31">
        <f>M10*4</f>
        <v>196</v>
      </c>
      <c r="N18" s="31">
        <f>N10*4</f>
        <v>1228</v>
      </c>
      <c r="O18" s="31">
        <f>O10*4</f>
        <v>80</v>
      </c>
      <c r="P18" s="31">
        <f>P10*4</f>
        <v>260</v>
      </c>
      <c r="Q18" s="31">
        <f>Q10*2</f>
        <v>91460</v>
      </c>
      <c r="R18" s="31">
        <f>R10*2</f>
        <v>1590</v>
      </c>
      <c r="S18" s="17">
        <f t="shared" si="3"/>
        <v>161016</v>
      </c>
      <c r="T18" s="34">
        <f t="shared" si="1"/>
        <v>161016</v>
      </c>
      <c r="U18" s="35">
        <f t="shared" si="2"/>
        <v>161016</v>
      </c>
      <c r="V18" s="7"/>
    </row>
    <row r="19" spans="1:22" s="22" customFormat="1" ht="25.5" x14ac:dyDescent="0.2">
      <c r="A19" s="29" t="s">
        <v>56</v>
      </c>
      <c r="B19" s="28" t="s">
        <v>7</v>
      </c>
      <c r="C19" s="31"/>
      <c r="D19" s="31"/>
      <c r="E19" s="31"/>
      <c r="F19" s="31"/>
      <c r="G19" s="31"/>
      <c r="H19" s="31"/>
      <c r="I19" s="31"/>
      <c r="J19" s="31"/>
      <c r="K19" s="31">
        <f>6*K10</f>
        <v>648</v>
      </c>
      <c r="L19" s="31">
        <f>6*L10</f>
        <v>2988</v>
      </c>
      <c r="M19" s="31">
        <f>8*M10</f>
        <v>392</v>
      </c>
      <c r="N19" s="31">
        <f>8*N10</f>
        <v>2456</v>
      </c>
      <c r="O19" s="31">
        <f>12*O10</f>
        <v>240</v>
      </c>
      <c r="P19" s="31">
        <f>12*P10</f>
        <v>780</v>
      </c>
      <c r="Q19" s="31">
        <v>0</v>
      </c>
      <c r="R19" s="31">
        <v>0</v>
      </c>
      <c r="S19" s="17">
        <f t="shared" si="3"/>
        <v>7504</v>
      </c>
      <c r="T19" s="34">
        <f t="shared" si="1"/>
        <v>7504</v>
      </c>
      <c r="U19" s="35">
        <f t="shared" si="2"/>
        <v>7504</v>
      </c>
      <c r="V19" s="7"/>
    </row>
    <row r="20" spans="1:22" s="22" customFormat="1" x14ac:dyDescent="0.2">
      <c r="A20" s="29" t="s">
        <v>47</v>
      </c>
      <c r="B20" s="28" t="s">
        <v>7</v>
      </c>
      <c r="C20" s="31"/>
      <c r="D20" s="31">
        <f t="shared" ref="D20:K20" si="8">D10*2</f>
        <v>5634</v>
      </c>
      <c r="E20" s="31">
        <f t="shared" si="8"/>
        <v>6204</v>
      </c>
      <c r="F20" s="31">
        <f t="shared" si="8"/>
        <v>6204</v>
      </c>
      <c r="G20" s="31">
        <f t="shared" si="8"/>
        <v>83158</v>
      </c>
      <c r="H20" s="31">
        <f t="shared" si="8"/>
        <v>31736</v>
      </c>
      <c r="I20" s="31">
        <f t="shared" si="8"/>
        <v>1224</v>
      </c>
      <c r="J20" s="31">
        <f t="shared" si="8"/>
        <v>242</v>
      </c>
      <c r="K20" s="31">
        <f t="shared" si="8"/>
        <v>216</v>
      </c>
      <c r="L20" s="31">
        <v>0</v>
      </c>
      <c r="M20" s="31">
        <f>M10*2</f>
        <v>98</v>
      </c>
      <c r="N20" s="31">
        <v>0</v>
      </c>
      <c r="O20" s="31">
        <f>O10*2</f>
        <v>40</v>
      </c>
      <c r="P20" s="31">
        <v>0</v>
      </c>
      <c r="Q20" s="31">
        <v>0</v>
      </c>
      <c r="R20" s="31">
        <v>0</v>
      </c>
      <c r="S20" s="17">
        <f t="shared" si="3"/>
        <v>134756</v>
      </c>
      <c r="T20" s="34">
        <f t="shared" si="1"/>
        <v>134756</v>
      </c>
      <c r="U20" s="35">
        <f t="shared" si="2"/>
        <v>134756</v>
      </c>
      <c r="V20" s="7"/>
    </row>
    <row r="21" spans="1:22" s="22" customFormat="1" x14ac:dyDescent="0.2">
      <c r="A21" s="29" t="s">
        <v>64</v>
      </c>
      <c r="B21" s="28" t="s">
        <v>44</v>
      </c>
      <c r="C21" s="31"/>
      <c r="D21" s="31"/>
      <c r="E21" s="31"/>
      <c r="F21" s="31"/>
      <c r="G21" s="31"/>
      <c r="H21" s="31"/>
      <c r="I21" s="31"/>
      <c r="J21" s="31"/>
      <c r="K21" s="31"/>
      <c r="L21" s="31"/>
      <c r="M21" s="31"/>
      <c r="N21" s="31"/>
      <c r="O21" s="31"/>
      <c r="P21" s="31"/>
      <c r="Q21" s="31"/>
      <c r="R21" s="31">
        <f>0.4*0.2*R10</f>
        <v>63.600000000000016</v>
      </c>
      <c r="S21" s="17">
        <f t="shared" si="3"/>
        <v>63.600000000000016</v>
      </c>
      <c r="T21" s="34">
        <f t="shared" si="1"/>
        <v>63.600000000000016</v>
      </c>
      <c r="U21" s="35">
        <f t="shared" si="2"/>
        <v>64</v>
      </c>
      <c r="V21" s="7"/>
    </row>
    <row r="22" spans="1:22" x14ac:dyDescent="0.25">
      <c r="A22" s="29" t="s">
        <v>37</v>
      </c>
      <c r="B22" s="28" t="s">
        <v>7</v>
      </c>
      <c r="C22" s="30">
        <f>2*C10</f>
        <v>57032</v>
      </c>
      <c r="D22" s="30">
        <f>2*D10</f>
        <v>5634</v>
      </c>
      <c r="E22" s="30">
        <f>2*E10</f>
        <v>6204</v>
      </c>
      <c r="F22" s="30">
        <f>2*F10</f>
        <v>6204</v>
      </c>
      <c r="G22" s="30">
        <f>2*G10</f>
        <v>83158</v>
      </c>
      <c r="H22" s="30">
        <v>0</v>
      </c>
      <c r="I22" s="30">
        <f t="shared" ref="I22:P22" si="9">2*I10</f>
        <v>1224</v>
      </c>
      <c r="J22" s="30">
        <f t="shared" si="9"/>
        <v>242</v>
      </c>
      <c r="K22" s="30">
        <f t="shared" si="9"/>
        <v>216</v>
      </c>
      <c r="L22" s="30">
        <f t="shared" si="9"/>
        <v>996</v>
      </c>
      <c r="M22" s="30">
        <f t="shared" si="9"/>
        <v>98</v>
      </c>
      <c r="N22" s="30">
        <f t="shared" si="9"/>
        <v>614</v>
      </c>
      <c r="O22" s="30">
        <f t="shared" si="9"/>
        <v>40</v>
      </c>
      <c r="P22" s="30">
        <f t="shared" si="9"/>
        <v>130</v>
      </c>
      <c r="Q22" s="30">
        <v>0</v>
      </c>
      <c r="R22" s="30">
        <f>2*R10</f>
        <v>1590</v>
      </c>
      <c r="S22" s="17">
        <f t="shared" si="3"/>
        <v>163382</v>
      </c>
      <c r="T22" s="34">
        <f t="shared" si="1"/>
        <v>163382</v>
      </c>
      <c r="U22" s="35">
        <f t="shared" si="2"/>
        <v>163382</v>
      </c>
      <c r="V22" s="6"/>
    </row>
    <row r="23" spans="1:22" x14ac:dyDescent="0.25">
      <c r="A23" s="29" t="s">
        <v>38</v>
      </c>
      <c r="B23" s="28" t="s">
        <v>26</v>
      </c>
      <c r="C23" s="30">
        <f t="shared" ref="C23:F24" si="10">0.6*C10</f>
        <v>17109.599999999999</v>
      </c>
      <c r="D23" s="30">
        <f t="shared" si="10"/>
        <v>1690.2</v>
      </c>
      <c r="E23" s="30">
        <f t="shared" si="10"/>
        <v>1861.1999999999998</v>
      </c>
      <c r="F23" s="30">
        <f t="shared" si="10"/>
        <v>1861.1999999999998</v>
      </c>
      <c r="G23" s="30">
        <f>0.8*G10</f>
        <v>33263.200000000004</v>
      </c>
      <c r="H23" s="30">
        <v>0</v>
      </c>
      <c r="I23" s="30">
        <f>0.6*I10</f>
        <v>367.2</v>
      </c>
      <c r="J23" s="30">
        <f>0.7*J10</f>
        <v>84.699999999999989</v>
      </c>
      <c r="K23" s="30">
        <f>0.8*K10</f>
        <v>86.4</v>
      </c>
      <c r="L23" s="30">
        <f>0.8*L10</f>
        <v>398.40000000000003</v>
      </c>
      <c r="M23" s="30">
        <f t="shared" ref="M23:P24" si="11">0.7*M10</f>
        <v>34.299999999999997</v>
      </c>
      <c r="N23" s="30">
        <f t="shared" si="11"/>
        <v>214.89999999999998</v>
      </c>
      <c r="O23" s="30">
        <f t="shared" si="11"/>
        <v>14</v>
      </c>
      <c r="P23" s="30">
        <f t="shared" si="11"/>
        <v>45.5</v>
      </c>
      <c r="Q23" s="30">
        <v>0</v>
      </c>
      <c r="R23" s="30">
        <f>0.7*R10</f>
        <v>556.5</v>
      </c>
      <c r="S23" s="17">
        <f t="shared" si="3"/>
        <v>57587.30000000001</v>
      </c>
      <c r="T23" s="34">
        <f t="shared" si="1"/>
        <v>57587.30000000001</v>
      </c>
      <c r="U23" s="35">
        <f t="shared" si="2"/>
        <v>57588</v>
      </c>
      <c r="V23" s="6"/>
    </row>
    <row r="24" spans="1:22" x14ac:dyDescent="0.25">
      <c r="A24" s="29" t="s">
        <v>39</v>
      </c>
      <c r="B24" s="28" t="s">
        <v>26</v>
      </c>
      <c r="C24" s="30">
        <f t="shared" si="10"/>
        <v>17109.599999999999</v>
      </c>
      <c r="D24" s="30">
        <f t="shared" si="10"/>
        <v>1690.2</v>
      </c>
      <c r="E24" s="30">
        <f t="shared" si="10"/>
        <v>1861.1999999999998</v>
      </c>
      <c r="F24" s="30">
        <f t="shared" si="10"/>
        <v>1861.1999999999998</v>
      </c>
      <c r="G24" s="30">
        <v>0</v>
      </c>
      <c r="H24" s="30">
        <v>0</v>
      </c>
      <c r="I24" s="30">
        <f>0.6*I11</f>
        <v>367.2</v>
      </c>
      <c r="J24" s="30">
        <f>0.7*J11</f>
        <v>84.699999999999989</v>
      </c>
      <c r="K24" s="30">
        <f>0.8*K11</f>
        <v>86.4</v>
      </c>
      <c r="L24" s="30">
        <f>0.8*L11</f>
        <v>398.40000000000003</v>
      </c>
      <c r="M24" s="30">
        <f t="shared" si="11"/>
        <v>34.299999999999997</v>
      </c>
      <c r="N24" s="30">
        <f t="shared" si="11"/>
        <v>214.89999999999998</v>
      </c>
      <c r="O24" s="30">
        <f t="shared" si="11"/>
        <v>14</v>
      </c>
      <c r="P24" s="30">
        <f t="shared" si="11"/>
        <v>45.5</v>
      </c>
      <c r="Q24" s="30">
        <v>0</v>
      </c>
      <c r="R24" s="30">
        <f>0.7*R11</f>
        <v>556.5</v>
      </c>
      <c r="S24" s="17">
        <f t="shared" si="3"/>
        <v>24324.100000000006</v>
      </c>
      <c r="T24" s="34">
        <f t="shared" si="1"/>
        <v>24324.100000000006</v>
      </c>
      <c r="U24" s="35">
        <f t="shared" si="2"/>
        <v>24325</v>
      </c>
      <c r="V24" s="6"/>
    </row>
    <row r="25" spans="1:22" x14ac:dyDescent="0.25">
      <c r="A25" s="29" t="s">
        <v>28</v>
      </c>
      <c r="B25" s="28" t="s">
        <v>7</v>
      </c>
      <c r="C25" s="30">
        <v>0</v>
      </c>
      <c r="D25" s="30">
        <v>0</v>
      </c>
      <c r="E25" s="30">
        <v>0</v>
      </c>
      <c r="F25" s="30">
        <v>0</v>
      </c>
      <c r="G25" s="30">
        <v>0</v>
      </c>
      <c r="H25" s="30">
        <f>H10*2</f>
        <v>31736</v>
      </c>
      <c r="I25" s="30">
        <v>0</v>
      </c>
      <c r="J25" s="30">
        <v>0</v>
      </c>
      <c r="K25" s="30">
        <v>0</v>
      </c>
      <c r="L25" s="30">
        <v>0</v>
      </c>
      <c r="M25" s="30">
        <v>0</v>
      </c>
      <c r="N25" s="30">
        <v>0</v>
      </c>
      <c r="O25" s="30">
        <v>0</v>
      </c>
      <c r="P25" s="30">
        <v>0</v>
      </c>
      <c r="Q25" s="30">
        <f>Q10*2</f>
        <v>91460</v>
      </c>
      <c r="R25" s="30">
        <v>0</v>
      </c>
      <c r="S25" s="17">
        <f t="shared" si="3"/>
        <v>123196</v>
      </c>
      <c r="T25" s="34">
        <f t="shared" si="1"/>
        <v>123196</v>
      </c>
      <c r="U25" s="35">
        <f t="shared" si="2"/>
        <v>123196</v>
      </c>
      <c r="V25" s="6"/>
    </row>
    <row r="26" spans="1:22" x14ac:dyDescent="0.25">
      <c r="A26" s="29" t="s">
        <v>29</v>
      </c>
      <c r="B26" s="28" t="s">
        <v>26</v>
      </c>
      <c r="C26" s="30">
        <v>0</v>
      </c>
      <c r="D26" s="30">
        <v>0</v>
      </c>
      <c r="E26" s="30">
        <v>0</v>
      </c>
      <c r="F26" s="30">
        <v>0</v>
      </c>
      <c r="G26" s="30">
        <v>0</v>
      </c>
      <c r="H26" s="30">
        <f>0.6*H11</f>
        <v>9520.7999999999993</v>
      </c>
      <c r="I26" s="30">
        <v>0</v>
      </c>
      <c r="J26" s="30">
        <v>0</v>
      </c>
      <c r="K26" s="30">
        <v>0</v>
      </c>
      <c r="L26" s="30">
        <v>0</v>
      </c>
      <c r="M26" s="30">
        <v>0</v>
      </c>
      <c r="N26" s="30">
        <v>0</v>
      </c>
      <c r="O26" s="30">
        <v>0</v>
      </c>
      <c r="P26" s="30">
        <v>0</v>
      </c>
      <c r="Q26" s="30">
        <f>0.4*Q11</f>
        <v>18292</v>
      </c>
      <c r="R26" s="30">
        <v>0</v>
      </c>
      <c r="S26" s="17">
        <f t="shared" si="3"/>
        <v>27812.799999999999</v>
      </c>
      <c r="T26" s="34">
        <f t="shared" si="1"/>
        <v>27812.799999999999</v>
      </c>
      <c r="U26" s="35">
        <f t="shared" si="2"/>
        <v>27813</v>
      </c>
    </row>
    <row r="27" spans="1:22" x14ac:dyDescent="0.25">
      <c r="A27" s="29" t="s">
        <v>27</v>
      </c>
      <c r="B27" s="28" t="s">
        <v>26</v>
      </c>
      <c r="C27" s="30">
        <v>0</v>
      </c>
      <c r="D27" s="30">
        <v>0</v>
      </c>
      <c r="E27" s="30">
        <v>0</v>
      </c>
      <c r="F27" s="30">
        <v>0</v>
      </c>
      <c r="G27" s="30">
        <v>0</v>
      </c>
      <c r="H27" s="30">
        <f>0.6*H10</f>
        <v>9520.7999999999993</v>
      </c>
      <c r="I27" s="30">
        <v>0</v>
      </c>
      <c r="J27" s="30">
        <v>0</v>
      </c>
      <c r="K27" s="30">
        <v>0</v>
      </c>
      <c r="L27" s="30">
        <v>0</v>
      </c>
      <c r="M27" s="30">
        <v>0</v>
      </c>
      <c r="N27" s="30">
        <v>0</v>
      </c>
      <c r="O27" s="30">
        <v>0</v>
      </c>
      <c r="P27" s="30">
        <v>0</v>
      </c>
      <c r="Q27" s="30">
        <f>0.4*Q10</f>
        <v>18292</v>
      </c>
      <c r="R27" s="30">
        <v>0</v>
      </c>
      <c r="S27" s="17">
        <f t="shared" si="3"/>
        <v>27812.799999999999</v>
      </c>
      <c r="T27" s="34">
        <f t="shared" si="1"/>
        <v>27812.799999999999</v>
      </c>
      <c r="U27" s="35">
        <f t="shared" si="2"/>
        <v>27813</v>
      </c>
    </row>
    <row r="28" spans="1:22" x14ac:dyDescent="0.25">
      <c r="A28" s="29" t="s">
        <v>30</v>
      </c>
      <c r="B28" s="28" t="s">
        <v>13</v>
      </c>
      <c r="C28" s="30">
        <f t="shared" ref="C28:I28" si="12">0.55*(C10/3)</f>
        <v>5227.9333333333343</v>
      </c>
      <c r="D28" s="30">
        <f t="shared" si="12"/>
        <v>516.45000000000005</v>
      </c>
      <c r="E28" s="30">
        <f t="shared" si="12"/>
        <v>568.70000000000005</v>
      </c>
      <c r="F28" s="30">
        <f t="shared" si="12"/>
        <v>568.70000000000005</v>
      </c>
      <c r="G28" s="30">
        <f t="shared" si="12"/>
        <v>7622.8166666666666</v>
      </c>
      <c r="H28" s="30">
        <f t="shared" si="12"/>
        <v>2909.1333333333332</v>
      </c>
      <c r="I28" s="30">
        <f t="shared" si="12"/>
        <v>112.2</v>
      </c>
      <c r="J28" s="30">
        <f>0.55*(J10/3)*2</f>
        <v>44.366666666666674</v>
      </c>
      <c r="K28" s="30">
        <f>0.55*(K10/3)*3</f>
        <v>59.400000000000006</v>
      </c>
      <c r="L28" s="30">
        <f>0.55*(L10/3)*3</f>
        <v>273.90000000000003</v>
      </c>
      <c r="M28" s="30">
        <f>0.55*(M10/3)*2</f>
        <v>17.966666666666669</v>
      </c>
      <c r="N28" s="30">
        <f>0.55*(N10/3)*2</f>
        <v>112.56666666666668</v>
      </c>
      <c r="O28" s="30">
        <f>0.55*(O10/3)*2</f>
        <v>7.3333333333333339</v>
      </c>
      <c r="P28" s="30">
        <f>0.55*(P10/3)*2</f>
        <v>23.833333333333336</v>
      </c>
      <c r="Q28" s="30">
        <f>0.55*(Q10/3)</f>
        <v>8383.8333333333339</v>
      </c>
      <c r="R28" s="30">
        <f>0.55*(R10/3)*3</f>
        <v>437.25</v>
      </c>
      <c r="S28" s="17">
        <f>SUM(C28:R28)</f>
        <v>26886.383333333331</v>
      </c>
      <c r="T28" s="34">
        <f t="shared" si="1"/>
        <v>26886.383333333331</v>
      </c>
      <c r="U28" s="35">
        <f t="shared" si="2"/>
        <v>26887</v>
      </c>
    </row>
    <row r="29" spans="1:22" x14ac:dyDescent="0.25">
      <c r="A29" s="29" t="s">
        <v>31</v>
      </c>
      <c r="B29" s="28" t="s">
        <v>9</v>
      </c>
      <c r="C29" s="30">
        <f t="shared" ref="C29:I29" si="13">C10/3</f>
        <v>9505.3333333333339</v>
      </c>
      <c r="D29" s="30">
        <f t="shared" si="13"/>
        <v>939</v>
      </c>
      <c r="E29" s="30">
        <f t="shared" si="13"/>
        <v>1034</v>
      </c>
      <c r="F29" s="30">
        <f t="shared" si="13"/>
        <v>1034</v>
      </c>
      <c r="G29" s="30">
        <f t="shared" si="13"/>
        <v>13859.666666666666</v>
      </c>
      <c r="H29" s="30">
        <f t="shared" si="13"/>
        <v>5289.333333333333</v>
      </c>
      <c r="I29" s="30">
        <f t="shared" si="13"/>
        <v>204</v>
      </c>
      <c r="J29" s="30">
        <f t="shared" ref="J29:P29" si="14">J10/3*2</f>
        <v>80.666666666666671</v>
      </c>
      <c r="K29" s="30">
        <f t="shared" si="14"/>
        <v>72</v>
      </c>
      <c r="L29" s="30">
        <f t="shared" si="14"/>
        <v>332</v>
      </c>
      <c r="M29" s="30">
        <f t="shared" si="14"/>
        <v>32.666666666666664</v>
      </c>
      <c r="N29" s="30">
        <f t="shared" si="14"/>
        <v>204.66666666666666</v>
      </c>
      <c r="O29" s="30">
        <f t="shared" si="14"/>
        <v>13.333333333333334</v>
      </c>
      <c r="P29" s="30">
        <f t="shared" si="14"/>
        <v>43.333333333333336</v>
      </c>
      <c r="Q29" s="30">
        <f>Q10/3</f>
        <v>15243.333333333334</v>
      </c>
      <c r="R29" s="30">
        <f>R10/3*2</f>
        <v>530</v>
      </c>
      <c r="S29" s="17">
        <f>SUM(C29:R29)</f>
        <v>48417.333333333336</v>
      </c>
      <c r="T29" s="34">
        <f t="shared" si="1"/>
        <v>48417.333333333336</v>
      </c>
      <c r="U29" s="35">
        <f t="shared" si="2"/>
        <v>48418</v>
      </c>
    </row>
    <row r="30" spans="1:22" x14ac:dyDescent="0.25">
      <c r="A30" s="29" t="s">
        <v>32</v>
      </c>
      <c r="B30" s="28" t="s">
        <v>13</v>
      </c>
      <c r="C30" s="30">
        <f>C10*2</f>
        <v>57032</v>
      </c>
      <c r="D30" s="30">
        <f>D10*4</f>
        <v>11268</v>
      </c>
      <c r="E30" s="30">
        <f>E10*12</f>
        <v>37224</v>
      </c>
      <c r="F30" s="30">
        <f>F10*8</f>
        <v>24816</v>
      </c>
      <c r="G30" s="30">
        <f>G10*16</f>
        <v>665264</v>
      </c>
      <c r="H30" s="30">
        <f>H10*24</f>
        <v>380832</v>
      </c>
      <c r="I30" s="30">
        <f>I10*32</f>
        <v>19584</v>
      </c>
      <c r="J30" s="30">
        <f>J10*40</f>
        <v>4840</v>
      </c>
      <c r="K30" s="30">
        <f>K10*9</f>
        <v>972</v>
      </c>
      <c r="L30" s="30">
        <f>L10*9</f>
        <v>4482</v>
      </c>
      <c r="M30" s="30">
        <f>M10*12</f>
        <v>588</v>
      </c>
      <c r="N30" s="30">
        <f>N10*12</f>
        <v>3684</v>
      </c>
      <c r="O30" s="30">
        <f>O10*16</f>
        <v>320</v>
      </c>
      <c r="P30" s="30">
        <f>P10*16</f>
        <v>1040</v>
      </c>
      <c r="Q30" s="30">
        <f>Q10*2</f>
        <v>91460</v>
      </c>
      <c r="R30" s="30">
        <f>R10*2</f>
        <v>1590</v>
      </c>
      <c r="S30" s="17">
        <f>SUM(C30:R30)</f>
        <v>1304996</v>
      </c>
      <c r="T30" s="34">
        <f t="shared" si="1"/>
        <v>1304996</v>
      </c>
      <c r="U30" s="35">
        <f t="shared" si="2"/>
        <v>1304996</v>
      </c>
    </row>
    <row r="31" spans="1:22" x14ac:dyDescent="0.25">
      <c r="A31" s="29" t="s">
        <v>33</v>
      </c>
      <c r="B31" s="28" t="s">
        <v>13</v>
      </c>
      <c r="C31" s="30">
        <f>C10*2</f>
        <v>57032</v>
      </c>
      <c r="D31" s="30">
        <f>D10*4</f>
        <v>11268</v>
      </c>
      <c r="E31" s="30">
        <f>E10*12</f>
        <v>37224</v>
      </c>
      <c r="F31" s="30">
        <f>F10*8</f>
        <v>24816</v>
      </c>
      <c r="G31" s="30">
        <f>G10*16</f>
        <v>665264</v>
      </c>
      <c r="H31" s="30">
        <f>H10*24</f>
        <v>380832</v>
      </c>
      <c r="I31" s="30">
        <f>I10*32</f>
        <v>19584</v>
      </c>
      <c r="J31" s="30">
        <f>J10*40</f>
        <v>4840</v>
      </c>
      <c r="K31" s="30">
        <f>K10*9</f>
        <v>972</v>
      </c>
      <c r="L31" s="30">
        <f>L10*9</f>
        <v>4482</v>
      </c>
      <c r="M31" s="30">
        <f>M10*12</f>
        <v>588</v>
      </c>
      <c r="N31" s="30">
        <f>N10*12</f>
        <v>3684</v>
      </c>
      <c r="O31" s="30">
        <f>O10*16</f>
        <v>320</v>
      </c>
      <c r="P31" s="30">
        <f>P10*16</f>
        <v>1040</v>
      </c>
      <c r="Q31" s="30">
        <f>Q10*2</f>
        <v>91460</v>
      </c>
      <c r="R31" s="30">
        <f>R10*2</f>
        <v>1590</v>
      </c>
      <c r="S31" s="17">
        <f>SUM(C31:R31)</f>
        <v>1304996</v>
      </c>
      <c r="T31" s="18">
        <f t="shared" si="1"/>
        <v>1304996</v>
      </c>
      <c r="U31" s="35">
        <f t="shared" si="2"/>
        <v>1304996</v>
      </c>
    </row>
    <row r="32" spans="1:22" s="6" customFormat="1" x14ac:dyDescent="0.25">
      <c r="A32" s="23"/>
      <c r="B32" s="24"/>
      <c r="C32" s="25"/>
      <c r="D32" s="25"/>
      <c r="E32" s="25"/>
      <c r="F32" s="25"/>
      <c r="G32" s="25"/>
      <c r="H32" s="25"/>
      <c r="I32" s="25"/>
      <c r="J32" s="25"/>
      <c r="K32" s="25"/>
      <c r="L32" s="25"/>
      <c r="M32" s="25"/>
      <c r="N32" s="25"/>
      <c r="O32" s="25"/>
      <c r="P32" s="25"/>
      <c r="Q32" s="25"/>
      <c r="R32" s="25"/>
    </row>
    <row r="33" spans="1:30" s="6" customFormat="1" x14ac:dyDescent="0.25">
      <c r="A33" s="23"/>
      <c r="B33" s="24"/>
      <c r="C33" s="25"/>
      <c r="D33" s="25"/>
      <c r="E33" s="25"/>
      <c r="F33" s="25"/>
      <c r="G33" s="25"/>
      <c r="H33" s="25"/>
      <c r="I33" s="25"/>
      <c r="J33" s="25"/>
      <c r="K33" s="25"/>
      <c r="L33" s="25"/>
      <c r="M33" s="25"/>
      <c r="N33" s="25"/>
      <c r="O33" s="25"/>
      <c r="P33" s="25"/>
      <c r="Q33" s="25"/>
      <c r="R33" s="25"/>
    </row>
    <row r="34" spans="1:30" s="6" customFormat="1" x14ac:dyDescent="0.25">
      <c r="A34" s="23"/>
      <c r="B34" s="24"/>
      <c r="C34" s="25"/>
      <c r="D34" s="25"/>
      <c r="E34" s="25"/>
      <c r="F34" s="25"/>
      <c r="G34" s="25"/>
      <c r="H34" s="25"/>
      <c r="I34" s="25"/>
      <c r="J34" s="25"/>
      <c r="K34" s="25"/>
      <c r="L34" s="25"/>
      <c r="M34" s="25"/>
      <c r="N34" s="25"/>
      <c r="O34" s="25"/>
      <c r="P34" s="25"/>
      <c r="Q34" s="25"/>
      <c r="R34" s="25"/>
    </row>
    <row r="35" spans="1:30" s="6" customFormat="1" x14ac:dyDescent="0.25">
      <c r="A35" s="25"/>
      <c r="B35" s="25"/>
      <c r="C35" s="25"/>
      <c r="D35" s="25"/>
      <c r="E35" s="25"/>
      <c r="F35" s="25"/>
      <c r="G35" s="25"/>
      <c r="H35" s="25"/>
      <c r="I35" s="25"/>
      <c r="J35" s="25"/>
      <c r="K35" s="25"/>
      <c r="L35" s="25"/>
      <c r="M35" s="25"/>
      <c r="N35" s="25"/>
      <c r="O35" s="25"/>
      <c r="P35" s="25"/>
      <c r="Q35" s="25"/>
      <c r="R35" s="25"/>
    </row>
    <row r="36" spans="1:30" x14ac:dyDescent="0.25">
      <c r="A36" s="259" t="s">
        <v>40</v>
      </c>
      <c r="B36" s="259"/>
      <c r="C36" s="259"/>
      <c r="D36" s="259"/>
      <c r="E36" s="259"/>
      <c r="F36" s="259"/>
      <c r="G36" s="259"/>
      <c r="H36" s="259"/>
      <c r="I36" s="259"/>
      <c r="J36" s="259"/>
      <c r="K36" s="25"/>
    </row>
    <row r="37" spans="1:30" x14ac:dyDescent="0.25">
      <c r="A37" s="260" t="s">
        <v>74</v>
      </c>
      <c r="B37" s="260"/>
      <c r="C37" s="260"/>
      <c r="D37" s="260"/>
      <c r="E37" s="260"/>
      <c r="F37" s="260"/>
      <c r="G37" s="260"/>
      <c r="H37" s="260"/>
      <c r="I37" s="260"/>
      <c r="J37" s="260"/>
      <c r="K37" s="25"/>
    </row>
    <row r="38" spans="1:30" x14ac:dyDescent="0.25">
      <c r="A38" s="261" t="s">
        <v>15</v>
      </c>
      <c r="B38" s="261" t="s">
        <v>16</v>
      </c>
      <c r="C38" s="26" t="s">
        <v>41</v>
      </c>
      <c r="D38" s="26" t="s">
        <v>65</v>
      </c>
      <c r="E38" s="26" t="s">
        <v>45</v>
      </c>
      <c r="F38" s="26" t="s">
        <v>66</v>
      </c>
      <c r="G38" s="26" t="s">
        <v>46</v>
      </c>
      <c r="H38" s="26" t="s">
        <v>67</v>
      </c>
      <c r="I38" s="26" t="s">
        <v>17</v>
      </c>
      <c r="J38" s="18"/>
      <c r="K38" s="25"/>
      <c r="U38" s="6"/>
      <c r="V38" s="6"/>
    </row>
    <row r="39" spans="1:30" x14ac:dyDescent="0.25">
      <c r="A39" s="261"/>
      <c r="B39" s="261"/>
      <c r="C39" s="27">
        <v>35461</v>
      </c>
      <c r="D39" s="27">
        <v>661</v>
      </c>
      <c r="E39" s="27">
        <v>5287</v>
      </c>
      <c r="F39" s="27">
        <v>280</v>
      </c>
      <c r="G39" s="27">
        <v>1</v>
      </c>
      <c r="H39" s="27">
        <v>1</v>
      </c>
      <c r="I39" s="26">
        <f>SUM(C39:H39)</f>
        <v>41691</v>
      </c>
      <c r="J39" s="18">
        <f>I39</f>
        <v>41691</v>
      </c>
      <c r="K39" s="25"/>
      <c r="U39" s="6"/>
      <c r="V39" s="6"/>
    </row>
    <row r="40" spans="1:30" x14ac:dyDescent="0.25">
      <c r="A40" s="222" t="s">
        <v>265</v>
      </c>
      <c r="B40" s="223" t="s">
        <v>7</v>
      </c>
      <c r="C40" s="27">
        <f>C39</f>
        <v>35461</v>
      </c>
      <c r="D40" s="27">
        <f t="shared" ref="D40:H40" si="15">D39</f>
        <v>661</v>
      </c>
      <c r="E40" s="27">
        <f t="shared" si="15"/>
        <v>5287</v>
      </c>
      <c r="F40" s="27">
        <f t="shared" si="15"/>
        <v>280</v>
      </c>
      <c r="G40" s="27">
        <f t="shared" si="15"/>
        <v>1</v>
      </c>
      <c r="H40" s="27">
        <f t="shared" si="15"/>
        <v>1</v>
      </c>
      <c r="I40" s="220"/>
      <c r="J40" s="18"/>
      <c r="K40" s="25"/>
      <c r="U40" s="6"/>
      <c r="V40" s="6"/>
    </row>
    <row r="41" spans="1:30" x14ac:dyDescent="0.25">
      <c r="A41" s="222" t="s">
        <v>19</v>
      </c>
      <c r="B41" s="31" t="s">
        <v>7</v>
      </c>
      <c r="C41" s="30">
        <f t="shared" ref="C41:H41" si="16">C39</f>
        <v>35461</v>
      </c>
      <c r="D41" s="30">
        <f t="shared" si="16"/>
        <v>661</v>
      </c>
      <c r="E41" s="30">
        <f t="shared" si="16"/>
        <v>5287</v>
      </c>
      <c r="F41" s="30">
        <f t="shared" si="16"/>
        <v>280</v>
      </c>
      <c r="G41" s="30">
        <f t="shared" si="16"/>
        <v>1</v>
      </c>
      <c r="H41" s="30">
        <f t="shared" si="16"/>
        <v>1</v>
      </c>
      <c r="I41" s="28">
        <f t="shared" ref="I41:I51" si="17">SUM(C41:H41)</f>
        <v>41691</v>
      </c>
      <c r="J41" s="38">
        <f t="shared" ref="J41:J51" si="18">I41</f>
        <v>41691</v>
      </c>
      <c r="K41" s="25"/>
      <c r="U41" s="6"/>
      <c r="V41" s="6"/>
    </row>
    <row r="42" spans="1:30" ht="25.5" x14ac:dyDescent="0.25">
      <c r="A42" s="222" t="s">
        <v>20</v>
      </c>
      <c r="B42" s="31" t="s">
        <v>21</v>
      </c>
      <c r="C42" s="30">
        <f>0.6*0.75*C39</f>
        <v>15957.449999999999</v>
      </c>
      <c r="D42" s="30">
        <f>(0.8*0.85*D39)+(0.8*0.3*D39)</f>
        <v>608.12</v>
      </c>
      <c r="E42" s="30">
        <f>0.6*1.05*E39</f>
        <v>3330.81</v>
      </c>
      <c r="F42" s="30">
        <f>(1*0.55*F39)+(0.8*0.275*F39)+(0.6*0.275*F39)</f>
        <v>261.8</v>
      </c>
      <c r="G42" s="30">
        <f>0.8*1.05*G39</f>
        <v>0.84000000000000008</v>
      </c>
      <c r="H42" s="30">
        <f>(0.55*1.2*H39)+(0.275*1*H39)+(0.275*0.8*H39)</f>
        <v>1.155</v>
      </c>
      <c r="I42" s="28">
        <f t="shared" si="17"/>
        <v>20160.174999999999</v>
      </c>
      <c r="J42" s="38">
        <f t="shared" si="18"/>
        <v>20160.174999999999</v>
      </c>
      <c r="K42" s="25"/>
      <c r="U42" s="6"/>
      <c r="V42" s="6"/>
    </row>
    <row r="43" spans="1:30" x14ac:dyDescent="0.25">
      <c r="A43" s="222" t="s">
        <v>22</v>
      </c>
      <c r="B43" s="31" t="s">
        <v>7</v>
      </c>
      <c r="C43" s="30">
        <f t="shared" ref="C43:H43" si="19">C39</f>
        <v>35461</v>
      </c>
      <c r="D43" s="30">
        <f t="shared" si="19"/>
        <v>661</v>
      </c>
      <c r="E43" s="30">
        <f t="shared" si="19"/>
        <v>5287</v>
      </c>
      <c r="F43" s="30">
        <f t="shared" si="19"/>
        <v>280</v>
      </c>
      <c r="G43" s="30">
        <f t="shared" si="19"/>
        <v>1</v>
      </c>
      <c r="H43" s="30">
        <f t="shared" si="19"/>
        <v>1</v>
      </c>
      <c r="I43" s="28">
        <f t="shared" si="17"/>
        <v>41691</v>
      </c>
      <c r="J43" s="38">
        <f t="shared" si="18"/>
        <v>41691</v>
      </c>
      <c r="U43" s="6"/>
      <c r="V43" s="6"/>
    </row>
    <row r="44" spans="1:30" ht="25.5" x14ac:dyDescent="0.25">
      <c r="A44" s="222" t="s">
        <v>23</v>
      </c>
      <c r="B44" s="31" t="s">
        <v>21</v>
      </c>
      <c r="C44" s="30">
        <f>((0.35*0.6*C39)-((0.0201*2)*C39))</f>
        <v>6021.2777999999998</v>
      </c>
      <c r="D44" s="30">
        <f>0.25*0.6*D39</f>
        <v>99.149999999999991</v>
      </c>
      <c r="E44" s="30">
        <f>0.6*0.4*E39</f>
        <v>1268.8799999999999</v>
      </c>
      <c r="F44" s="30">
        <f>(0.8*0.225*F39)+(0.6*0.225*F39)</f>
        <v>88.200000000000017</v>
      </c>
      <c r="G44" s="30">
        <f>(0.65*0.8*G39)-(((0.0021237*2)*G39)+((0.0017349*18)*G39))</f>
        <v>0.48452440000000002</v>
      </c>
      <c r="H44" s="30">
        <f>(1*0.55*H39)-((0.0017349*18)*H39)</f>
        <v>0.51877180000000001</v>
      </c>
      <c r="I44" s="28">
        <f t="shared" si="17"/>
        <v>7478.511096199999</v>
      </c>
      <c r="J44" s="38">
        <f t="shared" si="18"/>
        <v>7478.511096199999</v>
      </c>
      <c r="U44" s="6"/>
      <c r="V44" s="6"/>
    </row>
    <row r="45" spans="1:30" ht="25.5" x14ac:dyDescent="0.25">
      <c r="A45" s="222" t="s">
        <v>43</v>
      </c>
      <c r="B45" s="31" t="s">
        <v>21</v>
      </c>
      <c r="C45" s="30">
        <f>0.6*0.4*C39</f>
        <v>8510.64</v>
      </c>
      <c r="D45" s="30">
        <f>0.8*0.3*D39</f>
        <v>158.63999999999999</v>
      </c>
      <c r="E45" s="30">
        <f>(0.65*0.6*E39)-(((0.001963*2)*E39)+((0.0017349*12)*E39))</f>
        <v>1931.1042424000002</v>
      </c>
      <c r="F45" s="30">
        <f>(0.3*1*F39)-((0.0021237*2)*F39)</f>
        <v>82.810727999999997</v>
      </c>
      <c r="G45" s="30">
        <f>0.4*0.8*G39</f>
        <v>0.32000000000000006</v>
      </c>
      <c r="H45" s="30">
        <f>(0.3*1.2*H39)-((0.0021237*2)*H39)</f>
        <v>0.35575259999999997</v>
      </c>
      <c r="I45" s="28">
        <f t="shared" si="17"/>
        <v>10683.870723</v>
      </c>
      <c r="J45" s="38">
        <f t="shared" si="18"/>
        <v>10683.870723</v>
      </c>
      <c r="U45" s="6"/>
      <c r="V45" s="6"/>
    </row>
    <row r="46" spans="1:30" x14ac:dyDescent="0.25">
      <c r="A46" s="222" t="s">
        <v>24</v>
      </c>
      <c r="B46" s="31" t="s">
        <v>21</v>
      </c>
      <c r="C46" s="30">
        <f>C42-C44</f>
        <v>9936.1721999999991</v>
      </c>
      <c r="D46" s="30">
        <f>D42-D45</f>
        <v>449.48</v>
      </c>
      <c r="E46" s="30">
        <f>E42-E45</f>
        <v>1399.7057575999997</v>
      </c>
      <c r="F46" s="30">
        <f>F42-F45</f>
        <v>178.98927200000003</v>
      </c>
      <c r="G46" s="30">
        <f>G42-G45</f>
        <v>0.52</v>
      </c>
      <c r="H46" s="30">
        <f>H42-H45</f>
        <v>0.79924740000000005</v>
      </c>
      <c r="I46" s="28">
        <f t="shared" si="17"/>
        <v>11965.666476999999</v>
      </c>
      <c r="J46" s="38">
        <f t="shared" si="18"/>
        <v>11965.666476999999</v>
      </c>
      <c r="U46" s="6"/>
      <c r="V46" s="6"/>
      <c r="W46" s="6"/>
      <c r="X46" s="6"/>
      <c r="Y46" s="6"/>
      <c r="Z46" s="6"/>
      <c r="AA46" s="6"/>
      <c r="AB46" s="6"/>
      <c r="AC46" s="6"/>
      <c r="AD46" s="6"/>
    </row>
    <row r="47" spans="1:30" s="22" customFormat="1" ht="25.5" x14ac:dyDescent="0.25">
      <c r="A47" s="222" t="s">
        <v>70</v>
      </c>
      <c r="B47" s="31" t="s">
        <v>7</v>
      </c>
      <c r="C47" s="31">
        <f>C39*2</f>
        <v>70922</v>
      </c>
      <c r="D47" s="31">
        <v>0</v>
      </c>
      <c r="E47" s="31">
        <v>0</v>
      </c>
      <c r="F47" s="31">
        <v>0</v>
      </c>
      <c r="G47" s="31">
        <v>0</v>
      </c>
      <c r="H47" s="31">
        <v>0</v>
      </c>
      <c r="I47" s="28">
        <f t="shared" si="17"/>
        <v>70922</v>
      </c>
      <c r="J47" s="38">
        <f t="shared" si="18"/>
        <v>70922</v>
      </c>
      <c r="K47"/>
      <c r="L47"/>
      <c r="M47"/>
      <c r="N47"/>
      <c r="O47"/>
      <c r="P47"/>
      <c r="Q47"/>
      <c r="R47"/>
      <c r="S47"/>
      <c r="T47"/>
      <c r="U47" s="7"/>
      <c r="V47" s="7"/>
      <c r="W47" s="7"/>
      <c r="X47" s="7"/>
      <c r="Y47" s="7"/>
      <c r="Z47" s="7"/>
      <c r="AA47" s="7"/>
      <c r="AB47" s="7"/>
      <c r="AC47" s="7"/>
      <c r="AD47" s="7"/>
    </row>
    <row r="48" spans="1:30" s="22" customFormat="1" ht="25.5" x14ac:dyDescent="0.25">
      <c r="A48" s="222" t="s">
        <v>25</v>
      </c>
      <c r="B48" s="31" t="s">
        <v>7</v>
      </c>
      <c r="C48" s="31">
        <f>1*C39</f>
        <v>35461</v>
      </c>
      <c r="D48" s="31">
        <f>1*D39</f>
        <v>661</v>
      </c>
      <c r="E48" s="31">
        <f>2*E39</f>
        <v>10574</v>
      </c>
      <c r="F48" s="31">
        <f>2*F39</f>
        <v>560</v>
      </c>
      <c r="G48" s="31">
        <f>2*G39</f>
        <v>2</v>
      </c>
      <c r="H48" s="31">
        <f>2*H39</f>
        <v>2</v>
      </c>
      <c r="I48" s="28">
        <f t="shared" si="17"/>
        <v>47260</v>
      </c>
      <c r="J48" s="38">
        <f t="shared" si="18"/>
        <v>47260</v>
      </c>
      <c r="K48"/>
      <c r="L48"/>
      <c r="M48"/>
      <c r="N48"/>
      <c r="O48"/>
      <c r="P48"/>
      <c r="Q48"/>
      <c r="R48"/>
      <c r="S48"/>
      <c r="T48"/>
      <c r="U48" s="7"/>
      <c r="V48" s="7"/>
      <c r="W48" s="7"/>
      <c r="X48" s="7"/>
      <c r="Y48" s="7"/>
      <c r="Z48" s="7"/>
      <c r="AA48" s="7"/>
      <c r="AB48" s="7"/>
      <c r="AC48" s="7"/>
      <c r="AD48" s="7"/>
    </row>
    <row r="49" spans="1:30" s="22" customFormat="1" x14ac:dyDescent="0.25">
      <c r="A49" s="222" t="s">
        <v>68</v>
      </c>
      <c r="B49" s="31" t="s">
        <v>21</v>
      </c>
      <c r="C49" s="31">
        <v>0</v>
      </c>
      <c r="D49" s="31">
        <f>0.2*0.8*D39</f>
        <v>105.76000000000002</v>
      </c>
      <c r="E49" s="31">
        <v>0</v>
      </c>
      <c r="F49" s="31">
        <f>0.2*1*F39</f>
        <v>56</v>
      </c>
      <c r="G49" s="31">
        <v>0</v>
      </c>
      <c r="H49" s="31">
        <f>0.2*1.2*H39</f>
        <v>0.24</v>
      </c>
      <c r="I49" s="28">
        <f t="shared" si="17"/>
        <v>162.00000000000003</v>
      </c>
      <c r="J49" s="38">
        <f t="shared" si="18"/>
        <v>162.00000000000003</v>
      </c>
      <c r="K49"/>
      <c r="L49"/>
      <c r="M49"/>
      <c r="N49"/>
      <c r="O49"/>
      <c r="P49"/>
      <c r="Q49"/>
      <c r="R49"/>
      <c r="S49"/>
      <c r="T49"/>
      <c r="U49" s="7"/>
      <c r="V49" s="7"/>
      <c r="W49" s="7"/>
      <c r="X49" s="7"/>
      <c r="Y49" s="7"/>
      <c r="Z49" s="7"/>
      <c r="AA49" s="7"/>
      <c r="AB49" s="7"/>
      <c r="AC49" s="7"/>
      <c r="AD49" s="7"/>
    </row>
    <row r="50" spans="1:30" s="22" customFormat="1" x14ac:dyDescent="0.25">
      <c r="A50" s="222" t="s">
        <v>72</v>
      </c>
      <c r="B50" s="31" t="s">
        <v>71</v>
      </c>
      <c r="C50" s="31">
        <v>0</v>
      </c>
      <c r="D50" s="31">
        <f>(0.05*0.8*D39)+(0.05*0.6*D39)</f>
        <v>46.27</v>
      </c>
      <c r="E50" s="31">
        <v>0</v>
      </c>
      <c r="F50" s="31">
        <f>(0.05*0.8*F39)+(0.025*0.6*F39)</f>
        <v>15.400000000000002</v>
      </c>
      <c r="G50" s="31">
        <v>0</v>
      </c>
      <c r="H50" s="31">
        <f>(0.025*0.8*H39)+(1*0.05*H39)+(0.05*1.2*H39)</f>
        <v>0.13</v>
      </c>
      <c r="I50" s="28">
        <f t="shared" si="17"/>
        <v>61.800000000000004</v>
      </c>
      <c r="J50" s="38">
        <f t="shared" si="18"/>
        <v>61.800000000000004</v>
      </c>
      <c r="K50"/>
      <c r="L50"/>
      <c r="M50"/>
      <c r="N50"/>
      <c r="O50"/>
      <c r="P50"/>
      <c r="Q50"/>
      <c r="R50"/>
      <c r="S50"/>
      <c r="T50"/>
      <c r="U50" s="7"/>
      <c r="V50" s="7"/>
      <c r="W50" s="7"/>
      <c r="X50" s="7"/>
      <c r="Y50" s="7"/>
      <c r="Z50" s="7"/>
      <c r="AA50" s="7"/>
      <c r="AB50" s="7"/>
      <c r="AC50" s="7"/>
      <c r="AD50" s="7"/>
    </row>
    <row r="51" spans="1:30" s="22" customFormat="1" x14ac:dyDescent="0.25">
      <c r="A51" s="222" t="s">
        <v>69</v>
      </c>
      <c r="B51" s="31" t="s">
        <v>7</v>
      </c>
      <c r="C51" s="31">
        <f>1*C39</f>
        <v>35461</v>
      </c>
      <c r="D51" s="31">
        <v>0</v>
      </c>
      <c r="E51" s="31">
        <f>E39*1</f>
        <v>5287</v>
      </c>
      <c r="F51" s="31">
        <v>0</v>
      </c>
      <c r="G51" s="31">
        <f>1*G39</f>
        <v>1</v>
      </c>
      <c r="H51" s="31">
        <v>0</v>
      </c>
      <c r="I51" s="28">
        <f t="shared" si="17"/>
        <v>40749</v>
      </c>
      <c r="J51" s="38">
        <f t="shared" si="18"/>
        <v>40749</v>
      </c>
      <c r="K51"/>
      <c r="L51"/>
      <c r="M51"/>
      <c r="N51"/>
      <c r="O51"/>
      <c r="P51"/>
      <c r="Q51"/>
      <c r="R51"/>
      <c r="S51"/>
      <c r="T51"/>
      <c r="U51" s="7"/>
      <c r="V51" s="7"/>
      <c r="W51" s="7"/>
      <c r="X51" s="7"/>
      <c r="Y51" s="7"/>
      <c r="Z51" s="7"/>
      <c r="AA51" s="7"/>
      <c r="AB51" s="7"/>
      <c r="AC51" s="7"/>
      <c r="AD51" s="7"/>
    </row>
    <row r="52" spans="1:30" x14ac:dyDescent="0.25">
      <c r="A52" s="224" t="s">
        <v>37</v>
      </c>
      <c r="B52" s="225" t="s">
        <v>7</v>
      </c>
      <c r="C52" s="21">
        <v>0</v>
      </c>
      <c r="D52" s="21">
        <f>2*D39</f>
        <v>1322</v>
      </c>
      <c r="E52" s="21">
        <f>2*E39</f>
        <v>10574</v>
      </c>
      <c r="F52" s="21">
        <f>2*F39</f>
        <v>560</v>
      </c>
      <c r="G52" s="21">
        <f>2*G39</f>
        <v>2</v>
      </c>
      <c r="H52" s="21">
        <v>0</v>
      </c>
      <c r="I52" s="16">
        <f t="shared" ref="I52:I62" si="20">SUM(C52:H52)</f>
        <v>12458</v>
      </c>
      <c r="J52" s="37">
        <f t="shared" ref="J52:J62" si="21">I52</f>
        <v>12458</v>
      </c>
      <c r="U52" s="6"/>
      <c r="V52" s="6"/>
      <c r="W52" s="6"/>
      <c r="X52" s="6"/>
      <c r="Y52" s="6"/>
      <c r="Z52" s="6"/>
      <c r="AA52" s="6"/>
      <c r="AB52" s="6"/>
      <c r="AC52" s="6"/>
      <c r="AD52" s="6"/>
    </row>
    <row r="53" spans="1:30" x14ac:dyDescent="0.25">
      <c r="A53" s="224" t="s">
        <v>38</v>
      </c>
      <c r="B53" s="225" t="s">
        <v>26</v>
      </c>
      <c r="C53" s="21">
        <v>0</v>
      </c>
      <c r="D53" s="21">
        <f>0.6*D39</f>
        <v>396.59999999999997</v>
      </c>
      <c r="E53" s="21">
        <f>0.6*E39</f>
        <v>3172.2</v>
      </c>
      <c r="F53" s="21">
        <f>0.6*F39</f>
        <v>168</v>
      </c>
      <c r="G53" s="21">
        <f>0.8*G39</f>
        <v>0.8</v>
      </c>
      <c r="H53" s="21">
        <v>0</v>
      </c>
      <c r="I53" s="16">
        <f t="shared" si="20"/>
        <v>3737.6</v>
      </c>
      <c r="J53" s="37">
        <f t="shared" si="21"/>
        <v>3737.6</v>
      </c>
      <c r="U53" s="6"/>
      <c r="V53" s="6"/>
    </row>
    <row r="54" spans="1:30" x14ac:dyDescent="0.25">
      <c r="A54" s="224" t="s">
        <v>39</v>
      </c>
      <c r="B54" s="225" t="s">
        <v>26</v>
      </c>
      <c r="C54" s="21">
        <v>0</v>
      </c>
      <c r="D54" s="21">
        <f>0.6*D41</f>
        <v>396.59999999999997</v>
      </c>
      <c r="E54" s="21">
        <f>0.6*E41</f>
        <v>3172.2</v>
      </c>
      <c r="F54" s="21">
        <f>0.6*F41</f>
        <v>168</v>
      </c>
      <c r="G54" s="21">
        <v>0</v>
      </c>
      <c r="H54" s="21">
        <v>0</v>
      </c>
      <c r="I54" s="16">
        <f t="shared" si="20"/>
        <v>3736.7999999999997</v>
      </c>
      <c r="J54" s="37">
        <f t="shared" si="21"/>
        <v>3736.7999999999997</v>
      </c>
      <c r="U54" s="6"/>
      <c r="V54" s="6"/>
    </row>
    <row r="55" spans="1:30" x14ac:dyDescent="0.25">
      <c r="A55" s="224" t="s">
        <v>28</v>
      </c>
      <c r="B55" s="225" t="s">
        <v>7</v>
      </c>
      <c r="C55" s="21">
        <v>0</v>
      </c>
      <c r="D55" s="21">
        <v>0</v>
      </c>
      <c r="E55" s="21">
        <v>0</v>
      </c>
      <c r="F55" s="21">
        <v>0</v>
      </c>
      <c r="G55" s="21">
        <v>0</v>
      </c>
      <c r="H55" s="21">
        <f>H39*2</f>
        <v>2</v>
      </c>
      <c r="I55" s="16">
        <f t="shared" si="20"/>
        <v>2</v>
      </c>
      <c r="J55" s="37">
        <f t="shared" si="21"/>
        <v>2</v>
      </c>
      <c r="U55" s="6"/>
      <c r="V55" s="6"/>
    </row>
    <row r="56" spans="1:30" x14ac:dyDescent="0.25">
      <c r="A56" s="224" t="s">
        <v>29</v>
      </c>
      <c r="B56" s="225" t="s">
        <v>26</v>
      </c>
      <c r="C56" s="21">
        <v>0</v>
      </c>
      <c r="D56" s="21">
        <v>0</v>
      </c>
      <c r="E56" s="21">
        <v>0</v>
      </c>
      <c r="F56" s="21">
        <v>0</v>
      </c>
      <c r="G56" s="21">
        <v>0</v>
      </c>
      <c r="H56" s="21">
        <f>0.6*H41</f>
        <v>0.6</v>
      </c>
      <c r="I56" s="16">
        <f t="shared" si="20"/>
        <v>0.6</v>
      </c>
      <c r="J56" s="37">
        <f t="shared" si="21"/>
        <v>0.6</v>
      </c>
    </row>
    <row r="57" spans="1:30" x14ac:dyDescent="0.25">
      <c r="A57" s="224" t="s">
        <v>27</v>
      </c>
      <c r="B57" s="225" t="s">
        <v>26</v>
      </c>
      <c r="C57" s="21">
        <v>0</v>
      </c>
      <c r="D57" s="21">
        <v>0</v>
      </c>
      <c r="E57" s="21">
        <v>0</v>
      </c>
      <c r="F57" s="21">
        <v>0</v>
      </c>
      <c r="G57" s="21">
        <v>0</v>
      </c>
      <c r="H57" s="21">
        <f>0.6*H39</f>
        <v>0.6</v>
      </c>
      <c r="I57" s="16">
        <f t="shared" si="20"/>
        <v>0.6</v>
      </c>
      <c r="J57" s="37">
        <f t="shared" si="21"/>
        <v>0.6</v>
      </c>
    </row>
    <row r="58" spans="1:30" x14ac:dyDescent="0.25">
      <c r="A58" s="224" t="s">
        <v>30</v>
      </c>
      <c r="B58" s="225" t="s">
        <v>13</v>
      </c>
      <c r="C58" s="21">
        <f t="shared" ref="C58:H58" si="22">0.55*(C39/3)</f>
        <v>6501.1833333333343</v>
      </c>
      <c r="D58" s="21">
        <f t="shared" si="22"/>
        <v>121.18333333333335</v>
      </c>
      <c r="E58" s="21">
        <f t="shared" si="22"/>
        <v>969.28333333333342</v>
      </c>
      <c r="F58" s="21">
        <f t="shared" si="22"/>
        <v>51.333333333333336</v>
      </c>
      <c r="G58" s="21">
        <f t="shared" si="22"/>
        <v>0.18333333333333335</v>
      </c>
      <c r="H58" s="21">
        <f t="shared" si="22"/>
        <v>0.18333333333333335</v>
      </c>
      <c r="I58" s="16">
        <f t="shared" si="20"/>
        <v>7643.3500000000013</v>
      </c>
      <c r="J58" s="37">
        <f t="shared" si="21"/>
        <v>7643.3500000000013</v>
      </c>
    </row>
    <row r="59" spans="1:30" x14ac:dyDescent="0.25">
      <c r="A59" s="224" t="s">
        <v>31</v>
      </c>
      <c r="B59" s="225" t="s">
        <v>9</v>
      </c>
      <c r="C59" s="21">
        <f t="shared" ref="C59:H59" si="23">C39/3</f>
        <v>11820.333333333334</v>
      </c>
      <c r="D59" s="21">
        <f t="shared" si="23"/>
        <v>220.33333333333334</v>
      </c>
      <c r="E59" s="21">
        <f t="shared" si="23"/>
        <v>1762.3333333333333</v>
      </c>
      <c r="F59" s="21">
        <f t="shared" si="23"/>
        <v>93.333333333333329</v>
      </c>
      <c r="G59" s="21">
        <f t="shared" si="23"/>
        <v>0.33333333333333331</v>
      </c>
      <c r="H59" s="21">
        <f t="shared" si="23"/>
        <v>0.33333333333333331</v>
      </c>
      <c r="I59" s="16">
        <f t="shared" si="20"/>
        <v>13897.000000000004</v>
      </c>
      <c r="J59" s="37">
        <f t="shared" si="21"/>
        <v>13897.000000000004</v>
      </c>
    </row>
    <row r="60" spans="1:30" x14ac:dyDescent="0.25">
      <c r="A60" s="224" t="s">
        <v>32</v>
      </c>
      <c r="B60" s="225" t="s">
        <v>13</v>
      </c>
      <c r="C60" s="21">
        <f>C39*3</f>
        <v>106383</v>
      </c>
      <c r="D60" s="21">
        <f>D39*4</f>
        <v>2644</v>
      </c>
      <c r="E60" s="21">
        <f>E39*5</f>
        <v>26435</v>
      </c>
      <c r="F60" s="21">
        <f>F39*6</f>
        <v>1680</v>
      </c>
      <c r="G60" s="21">
        <f>G39*8</f>
        <v>8</v>
      </c>
      <c r="H60" s="21">
        <f>H39*2</f>
        <v>2</v>
      </c>
      <c r="I60" s="16">
        <f t="shared" si="20"/>
        <v>137152</v>
      </c>
      <c r="J60" s="37">
        <f t="shared" si="21"/>
        <v>137152</v>
      </c>
    </row>
    <row r="61" spans="1:30" x14ac:dyDescent="0.25">
      <c r="A61" s="224" t="s">
        <v>33</v>
      </c>
      <c r="B61" s="225" t="s">
        <v>13</v>
      </c>
      <c r="C61" s="21">
        <f>C39*3</f>
        <v>106383</v>
      </c>
      <c r="D61" s="21">
        <f>D39*4</f>
        <v>2644</v>
      </c>
      <c r="E61" s="21">
        <f>E39*5</f>
        <v>26435</v>
      </c>
      <c r="F61" s="21">
        <f>F39*6</f>
        <v>1680</v>
      </c>
      <c r="G61" s="21">
        <f>G39*8</f>
        <v>8</v>
      </c>
      <c r="H61" s="21">
        <f>H39*2</f>
        <v>2</v>
      </c>
      <c r="I61" s="16">
        <f t="shared" si="20"/>
        <v>137152</v>
      </c>
      <c r="J61" s="37">
        <f t="shared" si="21"/>
        <v>137152</v>
      </c>
    </row>
    <row r="62" spans="1:30" x14ac:dyDescent="0.25">
      <c r="A62" s="36"/>
      <c r="B62" s="16"/>
      <c r="C62" s="21"/>
      <c r="D62" s="21"/>
      <c r="E62" s="21"/>
      <c r="F62" s="21"/>
      <c r="G62" s="21"/>
      <c r="H62" s="21"/>
      <c r="I62" s="16">
        <f t="shared" si="20"/>
        <v>0</v>
      </c>
      <c r="J62" s="37">
        <f t="shared" si="21"/>
        <v>0</v>
      </c>
    </row>
    <row r="78" spans="1:22" x14ac:dyDescent="0.25">
      <c r="A78" s="262" t="s">
        <v>73</v>
      </c>
      <c r="B78" s="262"/>
      <c r="C78" s="262"/>
      <c r="D78" s="262"/>
      <c r="E78" s="262"/>
      <c r="F78" s="262"/>
      <c r="G78" s="262"/>
      <c r="H78" s="262"/>
      <c r="I78" s="262"/>
      <c r="J78" s="262"/>
      <c r="K78" s="262"/>
      <c r="L78" s="262"/>
      <c r="M78" s="262"/>
      <c r="N78" s="262"/>
      <c r="O78" s="262"/>
      <c r="P78" s="262"/>
      <c r="Q78" s="262"/>
      <c r="R78" s="262"/>
    </row>
    <row r="79" spans="1:22" ht="25.5" customHeight="1" x14ac:dyDescent="0.25">
      <c r="A79" s="263" t="s">
        <v>15</v>
      </c>
      <c r="B79" s="263" t="s">
        <v>16</v>
      </c>
      <c r="C79" s="16" t="s">
        <v>41</v>
      </c>
      <c r="D79" s="16" t="s">
        <v>45</v>
      </c>
      <c r="E79" s="16" t="s">
        <v>46</v>
      </c>
      <c r="F79" s="16" t="s">
        <v>50</v>
      </c>
      <c r="G79" s="16" t="s">
        <v>51</v>
      </c>
      <c r="H79" s="16" t="s">
        <v>52</v>
      </c>
      <c r="I79" s="16" t="s">
        <v>53</v>
      </c>
      <c r="J79" s="16" t="s">
        <v>54</v>
      </c>
      <c r="K79" s="16" t="s">
        <v>55</v>
      </c>
      <c r="L79" s="16" t="s">
        <v>57</v>
      </c>
      <c r="M79" s="16" t="s">
        <v>58</v>
      </c>
      <c r="N79" s="16" t="s">
        <v>59</v>
      </c>
      <c r="O79" s="16" t="s">
        <v>60</v>
      </c>
      <c r="P79" s="16" t="s">
        <v>61</v>
      </c>
      <c r="Q79" s="17" t="s">
        <v>63</v>
      </c>
      <c r="R79" s="16" t="s">
        <v>62</v>
      </c>
      <c r="S79" s="17" t="s">
        <v>17</v>
      </c>
      <c r="T79" s="18"/>
      <c r="U79" s="6"/>
      <c r="V79" s="6"/>
    </row>
    <row r="80" spans="1:22" x14ac:dyDescent="0.25">
      <c r="A80" s="263"/>
      <c r="B80" s="263"/>
      <c r="C80" s="33">
        <v>1</v>
      </c>
      <c r="D80" s="33">
        <v>5</v>
      </c>
      <c r="E80" s="33">
        <v>5</v>
      </c>
      <c r="F80" s="33">
        <v>5</v>
      </c>
      <c r="G80" s="33">
        <v>3</v>
      </c>
      <c r="H80" s="33">
        <v>5</v>
      </c>
      <c r="I80" s="33">
        <v>5</v>
      </c>
      <c r="J80" s="33">
        <v>5</v>
      </c>
      <c r="K80" s="33">
        <v>10</v>
      </c>
      <c r="L80" s="33">
        <v>6</v>
      </c>
      <c r="M80" s="33">
        <v>8</v>
      </c>
      <c r="N80" s="33">
        <v>9</v>
      </c>
      <c r="O80" s="33">
        <v>5</v>
      </c>
      <c r="P80" s="33">
        <v>5</v>
      </c>
      <c r="Q80" s="20">
        <v>4</v>
      </c>
      <c r="R80" s="19">
        <v>203.53</v>
      </c>
      <c r="S80" s="17">
        <f>SUM(C80:R80)</f>
        <v>284.52999999999997</v>
      </c>
      <c r="T80" s="34">
        <f>S80</f>
        <v>284.52999999999997</v>
      </c>
      <c r="U80" s="35">
        <f>_xlfn.CEILING.PRECISE(T80,1)</f>
        <v>285</v>
      </c>
      <c r="V80" s="6"/>
    </row>
    <row r="81" spans="1:22" x14ac:dyDescent="0.25">
      <c r="A81" s="29" t="s">
        <v>19</v>
      </c>
      <c r="B81" s="28" t="s">
        <v>7</v>
      </c>
      <c r="C81" s="30">
        <f>C80</f>
        <v>1</v>
      </c>
      <c r="D81" s="30">
        <f t="shared" ref="D81:Q81" si="24">D80</f>
        <v>5</v>
      </c>
      <c r="E81" s="30">
        <f t="shared" si="24"/>
        <v>5</v>
      </c>
      <c r="F81" s="30">
        <f t="shared" si="24"/>
        <v>5</v>
      </c>
      <c r="G81" s="30">
        <f t="shared" si="24"/>
        <v>3</v>
      </c>
      <c r="H81" s="30">
        <f t="shared" si="24"/>
        <v>5</v>
      </c>
      <c r="I81" s="30">
        <f t="shared" si="24"/>
        <v>5</v>
      </c>
      <c r="J81" s="30">
        <f t="shared" si="24"/>
        <v>5</v>
      </c>
      <c r="K81" s="30">
        <f t="shared" si="24"/>
        <v>10</v>
      </c>
      <c r="L81" s="30">
        <f t="shared" si="24"/>
        <v>6</v>
      </c>
      <c r="M81" s="30">
        <f t="shared" si="24"/>
        <v>8</v>
      </c>
      <c r="N81" s="30">
        <f t="shared" si="24"/>
        <v>9</v>
      </c>
      <c r="O81" s="30">
        <f t="shared" si="24"/>
        <v>5</v>
      </c>
      <c r="P81" s="30">
        <f t="shared" si="24"/>
        <v>5</v>
      </c>
      <c r="Q81" s="30">
        <f t="shared" si="24"/>
        <v>4</v>
      </c>
      <c r="R81" s="30">
        <f>R80</f>
        <v>203.53</v>
      </c>
      <c r="S81" s="17">
        <f>SUM(C81:R81)</f>
        <v>284.52999999999997</v>
      </c>
      <c r="T81" s="34">
        <f t="shared" ref="T81:T101" si="25">S81</f>
        <v>284.52999999999997</v>
      </c>
      <c r="U81" s="35">
        <f t="shared" ref="U81:U101" si="26">_xlfn.CEILING.PRECISE(T81,1)</f>
        <v>285</v>
      </c>
      <c r="V81" s="6"/>
    </row>
    <row r="82" spans="1:22" ht="25.5" x14ac:dyDescent="0.25">
      <c r="A82" s="29" t="s">
        <v>20</v>
      </c>
      <c r="B82" s="28" t="s">
        <v>21</v>
      </c>
      <c r="C82" s="30">
        <f>0.55*0.4*C80</f>
        <v>0.22000000000000003</v>
      </c>
      <c r="D82" s="30">
        <f>0.7*0.55*D80</f>
        <v>1.925</v>
      </c>
      <c r="E82" s="30">
        <f>0.7*0.85*E80</f>
        <v>2.9749999999999996</v>
      </c>
      <c r="F82" s="30">
        <f>0.7*0.85*F80</f>
        <v>2.9749999999999996</v>
      </c>
      <c r="G82" s="30">
        <f>0.7*0.95*G80</f>
        <v>1.9949999999999997</v>
      </c>
      <c r="H82" s="30">
        <f>0.7*1.05*H80</f>
        <v>3.6749999999999998</v>
      </c>
      <c r="I82" s="30">
        <f>0.7*1.15*I80</f>
        <v>4.0249999999999995</v>
      </c>
      <c r="J82" s="30">
        <f>0.7*1.25*J80</f>
        <v>4.375</v>
      </c>
      <c r="K82" s="30">
        <f>0.7*1*K80</f>
        <v>7</v>
      </c>
      <c r="L82" s="30">
        <f>0.7*1*L80</f>
        <v>4.1999999999999993</v>
      </c>
      <c r="M82" s="30">
        <f>0.8*1*M80</f>
        <v>6.4</v>
      </c>
      <c r="N82" s="30">
        <f>0.8*1*N80</f>
        <v>7.2</v>
      </c>
      <c r="O82" s="30">
        <f>0.8*1.2*O80</f>
        <v>4.8</v>
      </c>
      <c r="P82" s="30">
        <f>0.8*1.2*P80</f>
        <v>4.8</v>
      </c>
      <c r="Q82" s="30">
        <f>0.4*0.6*Q80</f>
        <v>0.96</v>
      </c>
      <c r="R82" s="31">
        <f>0.4*0.6*R80</f>
        <v>48.847200000000001</v>
      </c>
      <c r="S82" s="17">
        <f t="shared" ref="S82:S101" si="27">SUM(C82:R82)</f>
        <v>106.37219999999999</v>
      </c>
      <c r="T82" s="34">
        <f t="shared" si="25"/>
        <v>106.37219999999999</v>
      </c>
      <c r="U82" s="35">
        <f t="shared" si="26"/>
        <v>107</v>
      </c>
      <c r="V82" s="6"/>
    </row>
    <row r="83" spans="1:22" x14ac:dyDescent="0.25">
      <c r="A83" s="29" t="s">
        <v>22</v>
      </c>
      <c r="B83" s="28" t="s">
        <v>21</v>
      </c>
      <c r="C83" s="30">
        <f>C80</f>
        <v>1</v>
      </c>
      <c r="D83" s="30">
        <f t="shared" ref="D83:Q83" si="28">D80</f>
        <v>5</v>
      </c>
      <c r="E83" s="30">
        <f t="shared" si="28"/>
        <v>5</v>
      </c>
      <c r="F83" s="30">
        <f t="shared" si="28"/>
        <v>5</v>
      </c>
      <c r="G83" s="30">
        <f t="shared" si="28"/>
        <v>3</v>
      </c>
      <c r="H83" s="30">
        <f t="shared" si="28"/>
        <v>5</v>
      </c>
      <c r="I83" s="30">
        <f t="shared" si="28"/>
        <v>5</v>
      </c>
      <c r="J83" s="30">
        <f t="shared" si="28"/>
        <v>5</v>
      </c>
      <c r="K83" s="30">
        <f t="shared" si="28"/>
        <v>10</v>
      </c>
      <c r="L83" s="30">
        <f t="shared" si="28"/>
        <v>6</v>
      </c>
      <c r="M83" s="30">
        <f t="shared" si="28"/>
        <v>8</v>
      </c>
      <c r="N83" s="30">
        <f t="shared" si="28"/>
        <v>9</v>
      </c>
      <c r="O83" s="30">
        <f t="shared" si="28"/>
        <v>5</v>
      </c>
      <c r="P83" s="30">
        <f t="shared" si="28"/>
        <v>5</v>
      </c>
      <c r="Q83" s="30">
        <f t="shared" si="28"/>
        <v>4</v>
      </c>
      <c r="R83" s="30">
        <f>R80</f>
        <v>203.53</v>
      </c>
      <c r="S83" s="17">
        <f t="shared" si="27"/>
        <v>284.52999999999997</v>
      </c>
      <c r="T83" s="34">
        <f t="shared" si="25"/>
        <v>284.52999999999997</v>
      </c>
      <c r="U83" s="35">
        <f t="shared" si="26"/>
        <v>285</v>
      </c>
      <c r="V83" s="6"/>
    </row>
    <row r="84" spans="1:22" ht="25.5" x14ac:dyDescent="0.25">
      <c r="A84" s="29" t="s">
        <v>43</v>
      </c>
      <c r="B84" s="28" t="s">
        <v>44</v>
      </c>
      <c r="C84" s="30">
        <f>0.4*0.4*C80</f>
        <v>0.16000000000000003</v>
      </c>
      <c r="D84" s="30">
        <f>0.4*0.7*D80</f>
        <v>1.4</v>
      </c>
      <c r="E84" s="30">
        <f>0.4*0.7*E80</f>
        <v>1.4</v>
      </c>
      <c r="F84" s="30">
        <f>0.4*0.7*F80</f>
        <v>1.4</v>
      </c>
      <c r="G84" s="30">
        <f>0.4*0.7*G80</f>
        <v>0.83999999999999986</v>
      </c>
      <c r="H84" s="30">
        <f>0.4*0.7*H80</f>
        <v>1.4</v>
      </c>
      <c r="I84" s="30">
        <f>0.7*0.4*I80</f>
        <v>1.4</v>
      </c>
      <c r="J84" s="30">
        <f>0.7*0.4*J80</f>
        <v>1.4</v>
      </c>
      <c r="K84" s="30">
        <f>((0.7*0.4*K80)-((0.00311725*3)*K80))</f>
        <v>2.7064824999999999</v>
      </c>
      <c r="L84" s="30">
        <f>((0.7*0.4*L80)-((0.00311725*3)*L80))</f>
        <v>1.6238894999999998</v>
      </c>
      <c r="M84" s="30">
        <f>((0.8*0.4*M80)-((0.00311725*4)*M80))</f>
        <v>2.4602480000000004</v>
      </c>
      <c r="N84" s="30">
        <f>((0.8*0.4*N80)-((0.00311725*4)*N80))</f>
        <v>2.7677790000000009</v>
      </c>
      <c r="O84" s="30">
        <f>((0.8*0.51*O80)-((0.00311725*4)*O80))</f>
        <v>1.9776549999999999</v>
      </c>
      <c r="P84" s="30">
        <f>((0.8*0.51*P80)-((0.00311725*4)*P80))</f>
        <v>1.9776549999999999</v>
      </c>
      <c r="Q84" s="30">
        <f>((0.55*0.4*Q80)-((0.00311725*2)*Q80))</f>
        <v>0.8550620000000001</v>
      </c>
      <c r="R84" s="30">
        <f>(0.35*0.4*R80)-((0.00311725*2)*R80)</f>
        <v>27.225292214999996</v>
      </c>
      <c r="S84" s="17">
        <f t="shared" si="27"/>
        <v>50.994063214999997</v>
      </c>
      <c r="T84" s="34">
        <f t="shared" si="25"/>
        <v>50.994063214999997</v>
      </c>
      <c r="U84" s="35">
        <f t="shared" si="26"/>
        <v>51</v>
      </c>
      <c r="V84" s="6"/>
    </row>
    <row r="85" spans="1:22" ht="25.5" x14ac:dyDescent="0.25">
      <c r="A85" s="29" t="s">
        <v>23</v>
      </c>
      <c r="B85" s="28" t="s">
        <v>21</v>
      </c>
      <c r="C85" s="30">
        <f>((0.4*0.15*C80)-((0.001134*2)*C80))</f>
        <v>5.7731999999999999E-2</v>
      </c>
      <c r="D85" s="32">
        <f>((0.7*0.12*D80)-((0.001134*4)*D80))</f>
        <v>0.39731999999999995</v>
      </c>
      <c r="E85" s="32">
        <f>((0.7*0.45*E80)-(((0.001134*3)+(0.00311725*1)+(0.00173495*8))*E80))</f>
        <v>1.47300575</v>
      </c>
      <c r="F85" s="32">
        <f>((0.7*0.45*F80)-(((0.001134*7)+(0.00311725*1))*F80))</f>
        <v>1.51972375</v>
      </c>
      <c r="G85" s="30">
        <f>((0.7*0.55*G80)-(((0.001134*7)+(0.00311725*1)+(0.00173495*8))*G80))</f>
        <v>1.0801954499999999</v>
      </c>
      <c r="H85" s="30">
        <f>((0.7*0.65*H80)-(((0.001134*7)+(0.00311725*1)+(0.00173495*16))*H80))</f>
        <v>2.0809277499999999</v>
      </c>
      <c r="I85" s="30">
        <f>((0.7*0.65*I80)-(((0.001134*7)+(0.00311725*1)+(0.00173495*24))*I80))</f>
        <v>2.0115297499999998</v>
      </c>
      <c r="J85" s="30">
        <f>((0.7*0.65*J80)-(((0.001134*7)+(0.00311725*1)+(0.00173495*32))*J80))</f>
        <v>1.9421317499999999</v>
      </c>
      <c r="K85" s="30">
        <f>((0.7*0.65*K80)-((0.0201*6)*K80))</f>
        <v>3.3439999999999999</v>
      </c>
      <c r="L85" s="30">
        <f>((0.7*0.65*L80)-((0.0201*6)*L80))</f>
        <v>2.0063999999999993</v>
      </c>
      <c r="M85" s="30">
        <f>((0.8*0.51*M80)-((0.0201*8)*M80))</f>
        <v>1.9776000000000002</v>
      </c>
      <c r="N85" s="30">
        <f>((0.8*0.51*N80)-((0.0201*8)*N80))</f>
        <v>2.2248000000000001</v>
      </c>
      <c r="O85" s="30">
        <f>((0.8*0.69*O80)-((0.0201*12)*O80))</f>
        <v>1.5539999999999998</v>
      </c>
      <c r="P85" s="30">
        <f>((0.8*0.69*P80)-((0.0201*12)*P80))</f>
        <v>1.5539999999999998</v>
      </c>
      <c r="Q85" s="30">
        <f>0.4*0.05*Q80</f>
        <v>8.0000000000000016E-2</v>
      </c>
      <c r="R85" s="30">
        <f>0.4*0.05*R80</f>
        <v>4.0706000000000007</v>
      </c>
      <c r="S85" s="17">
        <f t="shared" si="27"/>
        <v>27.373966199999991</v>
      </c>
      <c r="T85" s="34">
        <f t="shared" si="25"/>
        <v>27.373966199999991</v>
      </c>
      <c r="U85" s="35">
        <f t="shared" si="26"/>
        <v>28</v>
      </c>
      <c r="V85" s="6"/>
    </row>
    <row r="86" spans="1:22" x14ac:dyDescent="0.25">
      <c r="A86" s="29" t="s">
        <v>24</v>
      </c>
      <c r="B86" s="28" t="s">
        <v>21</v>
      </c>
      <c r="C86" s="30">
        <f t="shared" ref="C86:R86" si="29">C82-C85</f>
        <v>0.16226800000000002</v>
      </c>
      <c r="D86" s="30">
        <f t="shared" si="29"/>
        <v>1.5276800000000001</v>
      </c>
      <c r="E86" s="32">
        <f t="shared" si="29"/>
        <v>1.5019942499999996</v>
      </c>
      <c r="F86" s="32">
        <f t="shared" si="29"/>
        <v>1.4552762499999996</v>
      </c>
      <c r="G86" s="32">
        <f t="shared" si="29"/>
        <v>0.91480454999999972</v>
      </c>
      <c r="H86" s="32">
        <f t="shared" si="29"/>
        <v>1.59407225</v>
      </c>
      <c r="I86" s="32">
        <f t="shared" si="29"/>
        <v>2.0134702499999997</v>
      </c>
      <c r="J86" s="32">
        <f t="shared" si="29"/>
        <v>2.4328682500000003</v>
      </c>
      <c r="K86" s="32">
        <f t="shared" si="29"/>
        <v>3.6560000000000001</v>
      </c>
      <c r="L86" s="32">
        <f t="shared" si="29"/>
        <v>2.1936</v>
      </c>
      <c r="M86" s="32">
        <f t="shared" si="29"/>
        <v>4.4223999999999997</v>
      </c>
      <c r="N86" s="32">
        <f t="shared" si="29"/>
        <v>4.9752000000000001</v>
      </c>
      <c r="O86" s="32">
        <f t="shared" si="29"/>
        <v>3.246</v>
      </c>
      <c r="P86" s="32">
        <f t="shared" si="29"/>
        <v>3.246</v>
      </c>
      <c r="Q86" s="32">
        <f t="shared" si="29"/>
        <v>0.87999999999999989</v>
      </c>
      <c r="R86" s="32">
        <f t="shared" si="29"/>
        <v>44.776600000000002</v>
      </c>
      <c r="S86" s="17">
        <f t="shared" si="27"/>
        <v>78.998233800000008</v>
      </c>
      <c r="T86" s="34">
        <f t="shared" si="25"/>
        <v>78.998233800000008</v>
      </c>
      <c r="U86" s="35">
        <f t="shared" si="26"/>
        <v>79</v>
      </c>
      <c r="V86" s="6"/>
    </row>
    <row r="87" spans="1:22" s="22" customFormat="1" ht="25.5" x14ac:dyDescent="0.2">
      <c r="A87" s="29" t="s">
        <v>42</v>
      </c>
      <c r="B87" s="28" t="s">
        <v>7</v>
      </c>
      <c r="C87" s="31">
        <f>2*C80</f>
        <v>2</v>
      </c>
      <c r="D87" s="31">
        <f>4*D80</f>
        <v>20</v>
      </c>
      <c r="E87" s="31">
        <f>3*E80</f>
        <v>15</v>
      </c>
      <c r="F87" s="31">
        <f>7*F80</f>
        <v>35</v>
      </c>
      <c r="G87" s="31">
        <f>7*G80</f>
        <v>21</v>
      </c>
      <c r="H87" s="31">
        <f>7*H80</f>
        <v>35</v>
      </c>
      <c r="I87" s="31">
        <f>7*I80</f>
        <v>35</v>
      </c>
      <c r="J87" s="31">
        <f>7*J80</f>
        <v>35</v>
      </c>
      <c r="K87" s="31"/>
      <c r="L87" s="31"/>
      <c r="M87" s="31"/>
      <c r="N87" s="31"/>
      <c r="O87" s="31"/>
      <c r="P87" s="31"/>
      <c r="Q87" s="31"/>
      <c r="R87" s="31"/>
      <c r="S87" s="17">
        <f t="shared" si="27"/>
        <v>198</v>
      </c>
      <c r="T87" s="34">
        <f t="shared" si="25"/>
        <v>198</v>
      </c>
      <c r="U87" s="35">
        <f t="shared" si="26"/>
        <v>198</v>
      </c>
      <c r="V87" s="7"/>
    </row>
    <row r="88" spans="1:22" s="22" customFormat="1" ht="25.5" x14ac:dyDescent="0.2">
      <c r="A88" s="29" t="s">
        <v>48</v>
      </c>
      <c r="B88" s="28" t="s">
        <v>49</v>
      </c>
      <c r="C88" s="31"/>
      <c r="D88" s="31"/>
      <c r="E88" s="31">
        <f t="shared" ref="E88:J88" si="30">E80*1</f>
        <v>5</v>
      </c>
      <c r="F88" s="31">
        <f t="shared" si="30"/>
        <v>5</v>
      </c>
      <c r="G88" s="31">
        <f t="shared" si="30"/>
        <v>3</v>
      </c>
      <c r="H88" s="31">
        <f t="shared" si="30"/>
        <v>5</v>
      </c>
      <c r="I88" s="31">
        <f t="shared" si="30"/>
        <v>5</v>
      </c>
      <c r="J88" s="31">
        <f t="shared" si="30"/>
        <v>5</v>
      </c>
      <c r="K88" s="31">
        <f>K80*3</f>
        <v>30</v>
      </c>
      <c r="L88" s="31">
        <f>L80*3</f>
        <v>18</v>
      </c>
      <c r="M88" s="31">
        <f>M80*4</f>
        <v>32</v>
      </c>
      <c r="N88" s="31">
        <f>N80*4</f>
        <v>36</v>
      </c>
      <c r="O88" s="31">
        <f>O80*4</f>
        <v>20</v>
      </c>
      <c r="P88" s="31">
        <f>P80*4</f>
        <v>20</v>
      </c>
      <c r="Q88" s="31">
        <f>Q80*2</f>
        <v>8</v>
      </c>
      <c r="R88" s="31">
        <f>R80*2</f>
        <v>407.06</v>
      </c>
      <c r="S88" s="17">
        <f t="shared" si="27"/>
        <v>599.05999999999995</v>
      </c>
      <c r="T88" s="34">
        <f t="shared" si="25"/>
        <v>599.05999999999995</v>
      </c>
      <c r="U88" s="35">
        <f t="shared" si="26"/>
        <v>600</v>
      </c>
      <c r="V88" s="7"/>
    </row>
    <row r="89" spans="1:22" s="22" customFormat="1" ht="25.5" x14ac:dyDescent="0.2">
      <c r="A89" s="29" t="s">
        <v>56</v>
      </c>
      <c r="B89" s="28" t="s">
        <v>7</v>
      </c>
      <c r="C89" s="31"/>
      <c r="D89" s="31"/>
      <c r="E89" s="31"/>
      <c r="F89" s="31"/>
      <c r="G89" s="31"/>
      <c r="H89" s="31"/>
      <c r="I89" s="31"/>
      <c r="J89" s="31"/>
      <c r="K89" s="31">
        <f>6*K80</f>
        <v>60</v>
      </c>
      <c r="L89" s="31">
        <f>6*L80</f>
        <v>36</v>
      </c>
      <c r="M89" s="31">
        <f>8*M80</f>
        <v>64</v>
      </c>
      <c r="N89" s="31">
        <f>8*N80</f>
        <v>72</v>
      </c>
      <c r="O89" s="31">
        <f>12*O80</f>
        <v>60</v>
      </c>
      <c r="P89" s="31">
        <f>12*P80</f>
        <v>60</v>
      </c>
      <c r="Q89" s="31">
        <v>0</v>
      </c>
      <c r="R89" s="31">
        <v>0</v>
      </c>
      <c r="S89" s="17">
        <f t="shared" si="27"/>
        <v>352</v>
      </c>
      <c r="T89" s="34">
        <f t="shared" si="25"/>
        <v>352</v>
      </c>
      <c r="U89" s="35">
        <f t="shared" si="26"/>
        <v>352</v>
      </c>
      <c r="V89" s="7"/>
    </row>
    <row r="90" spans="1:22" s="22" customFormat="1" x14ac:dyDescent="0.2">
      <c r="A90" s="29" t="s">
        <v>47</v>
      </c>
      <c r="B90" s="28" t="s">
        <v>7</v>
      </c>
      <c r="C90" s="31"/>
      <c r="D90" s="31">
        <f t="shared" ref="D90:K90" si="31">D80*2</f>
        <v>10</v>
      </c>
      <c r="E90" s="31">
        <f t="shared" si="31"/>
        <v>10</v>
      </c>
      <c r="F90" s="31">
        <f t="shared" si="31"/>
        <v>10</v>
      </c>
      <c r="G90" s="31">
        <f t="shared" si="31"/>
        <v>6</v>
      </c>
      <c r="H90" s="31">
        <f t="shared" si="31"/>
        <v>10</v>
      </c>
      <c r="I90" s="31">
        <f t="shared" si="31"/>
        <v>10</v>
      </c>
      <c r="J90" s="31">
        <f t="shared" si="31"/>
        <v>10</v>
      </c>
      <c r="K90" s="31">
        <f t="shared" si="31"/>
        <v>20</v>
      </c>
      <c r="L90" s="31">
        <v>0</v>
      </c>
      <c r="M90" s="31">
        <f>M80*2</f>
        <v>16</v>
      </c>
      <c r="N90" s="31">
        <v>0</v>
      </c>
      <c r="O90" s="31">
        <f>O80*2</f>
        <v>10</v>
      </c>
      <c r="P90" s="31">
        <v>0</v>
      </c>
      <c r="Q90" s="31">
        <v>0</v>
      </c>
      <c r="R90" s="31">
        <v>0</v>
      </c>
      <c r="S90" s="17">
        <f t="shared" si="27"/>
        <v>112</v>
      </c>
      <c r="T90" s="34">
        <f t="shared" si="25"/>
        <v>112</v>
      </c>
      <c r="U90" s="35">
        <f t="shared" si="26"/>
        <v>112</v>
      </c>
      <c r="V90" s="7"/>
    </row>
    <row r="91" spans="1:22" s="22" customFormat="1" x14ac:dyDescent="0.2">
      <c r="A91" s="29" t="s">
        <v>64</v>
      </c>
      <c r="B91" s="28" t="s">
        <v>44</v>
      </c>
      <c r="C91" s="31"/>
      <c r="D91" s="31"/>
      <c r="E91" s="31"/>
      <c r="F91" s="31"/>
      <c r="G91" s="31"/>
      <c r="H91" s="31"/>
      <c r="I91" s="31"/>
      <c r="J91" s="31"/>
      <c r="K91" s="31"/>
      <c r="L91" s="31"/>
      <c r="M91" s="31"/>
      <c r="N91" s="31"/>
      <c r="O91" s="31"/>
      <c r="P91" s="31"/>
      <c r="Q91" s="31"/>
      <c r="R91" s="31">
        <f>0.4*0.2*R80</f>
        <v>16.282400000000003</v>
      </c>
      <c r="S91" s="17">
        <f t="shared" si="27"/>
        <v>16.282400000000003</v>
      </c>
      <c r="T91" s="34">
        <f t="shared" si="25"/>
        <v>16.282400000000003</v>
      </c>
      <c r="U91" s="35">
        <f t="shared" si="26"/>
        <v>17</v>
      </c>
      <c r="V91" s="7"/>
    </row>
    <row r="92" spans="1:22" x14ac:dyDescent="0.25">
      <c r="A92" s="29" t="s">
        <v>37</v>
      </c>
      <c r="B92" s="28" t="s">
        <v>7</v>
      </c>
      <c r="C92" s="30">
        <f>2*C80</f>
        <v>2</v>
      </c>
      <c r="D92" s="30">
        <f>2*D80</f>
        <v>10</v>
      </c>
      <c r="E92" s="30">
        <f>2*E80</f>
        <v>10</v>
      </c>
      <c r="F92" s="30">
        <f>2*F80</f>
        <v>10</v>
      </c>
      <c r="G92" s="30">
        <f>2*G80</f>
        <v>6</v>
      </c>
      <c r="H92" s="30">
        <v>0</v>
      </c>
      <c r="I92" s="30">
        <f t="shared" ref="I92:P92" si="32">2*I80</f>
        <v>10</v>
      </c>
      <c r="J92" s="30">
        <f t="shared" si="32"/>
        <v>10</v>
      </c>
      <c r="K92" s="30">
        <f t="shared" si="32"/>
        <v>20</v>
      </c>
      <c r="L92" s="30">
        <f t="shared" si="32"/>
        <v>12</v>
      </c>
      <c r="M92" s="30">
        <f t="shared" si="32"/>
        <v>16</v>
      </c>
      <c r="N92" s="30">
        <f t="shared" si="32"/>
        <v>18</v>
      </c>
      <c r="O92" s="30">
        <f t="shared" si="32"/>
        <v>10</v>
      </c>
      <c r="P92" s="30">
        <f t="shared" si="32"/>
        <v>10</v>
      </c>
      <c r="Q92" s="30">
        <v>0</v>
      </c>
      <c r="R92" s="30">
        <f>2*R80</f>
        <v>407.06</v>
      </c>
      <c r="S92" s="17">
        <f t="shared" si="27"/>
        <v>551.05999999999995</v>
      </c>
      <c r="T92" s="34">
        <f t="shared" si="25"/>
        <v>551.05999999999995</v>
      </c>
      <c r="U92" s="35">
        <f t="shared" si="26"/>
        <v>552</v>
      </c>
      <c r="V92" s="6"/>
    </row>
    <row r="93" spans="1:22" x14ac:dyDescent="0.25">
      <c r="A93" s="29" t="s">
        <v>38</v>
      </c>
      <c r="B93" s="28" t="s">
        <v>26</v>
      </c>
      <c r="C93" s="30">
        <f t="shared" ref="C93:F94" si="33">0.6*C80</f>
        <v>0.6</v>
      </c>
      <c r="D93" s="30">
        <f t="shared" si="33"/>
        <v>3</v>
      </c>
      <c r="E93" s="30">
        <f t="shared" si="33"/>
        <v>3</v>
      </c>
      <c r="F93" s="30">
        <f t="shared" si="33"/>
        <v>3</v>
      </c>
      <c r="G93" s="30">
        <f>0.8*G80</f>
        <v>2.4000000000000004</v>
      </c>
      <c r="H93" s="30">
        <v>0</v>
      </c>
      <c r="I93" s="30">
        <f>0.6*I80</f>
        <v>3</v>
      </c>
      <c r="J93" s="30">
        <f>0.7*J80</f>
        <v>3.5</v>
      </c>
      <c r="K93" s="30">
        <f>0.8*K80</f>
        <v>8</v>
      </c>
      <c r="L93" s="30">
        <f>0.8*L80</f>
        <v>4.8000000000000007</v>
      </c>
      <c r="M93" s="30">
        <f t="shared" ref="M93:P94" si="34">0.7*M80</f>
        <v>5.6</v>
      </c>
      <c r="N93" s="30">
        <f t="shared" si="34"/>
        <v>6.3</v>
      </c>
      <c r="O93" s="30">
        <f t="shared" si="34"/>
        <v>3.5</v>
      </c>
      <c r="P93" s="30">
        <f t="shared" si="34"/>
        <v>3.5</v>
      </c>
      <c r="Q93" s="30">
        <v>0</v>
      </c>
      <c r="R93" s="30">
        <f>0.7*R80</f>
        <v>142.471</v>
      </c>
      <c r="S93" s="17">
        <f t="shared" si="27"/>
        <v>192.67099999999999</v>
      </c>
      <c r="T93" s="34">
        <f t="shared" si="25"/>
        <v>192.67099999999999</v>
      </c>
      <c r="U93" s="35">
        <f t="shared" si="26"/>
        <v>193</v>
      </c>
      <c r="V93" s="6"/>
    </row>
    <row r="94" spans="1:22" x14ac:dyDescent="0.25">
      <c r="A94" s="29" t="s">
        <v>39</v>
      </c>
      <c r="B94" s="28" t="s">
        <v>26</v>
      </c>
      <c r="C94" s="30">
        <f t="shared" si="33"/>
        <v>0.6</v>
      </c>
      <c r="D94" s="30">
        <f t="shared" si="33"/>
        <v>3</v>
      </c>
      <c r="E94" s="30">
        <f t="shared" si="33"/>
        <v>3</v>
      </c>
      <c r="F94" s="30">
        <f t="shared" si="33"/>
        <v>3</v>
      </c>
      <c r="G94" s="30">
        <v>0</v>
      </c>
      <c r="H94" s="30">
        <v>0</v>
      </c>
      <c r="I94" s="30">
        <f>0.6*I81</f>
        <v>3</v>
      </c>
      <c r="J94" s="30">
        <f>0.7*J81</f>
        <v>3.5</v>
      </c>
      <c r="K94" s="30">
        <f>0.8*K81</f>
        <v>8</v>
      </c>
      <c r="L94" s="30">
        <f>0.8*L81</f>
        <v>4.8000000000000007</v>
      </c>
      <c r="M94" s="30">
        <f t="shared" si="34"/>
        <v>5.6</v>
      </c>
      <c r="N94" s="30">
        <f t="shared" si="34"/>
        <v>6.3</v>
      </c>
      <c r="O94" s="30">
        <f t="shared" si="34"/>
        <v>3.5</v>
      </c>
      <c r="P94" s="30">
        <f t="shared" si="34"/>
        <v>3.5</v>
      </c>
      <c r="Q94" s="30">
        <v>0</v>
      </c>
      <c r="R94" s="30">
        <f>0.7*R81</f>
        <v>142.471</v>
      </c>
      <c r="S94" s="17">
        <f t="shared" si="27"/>
        <v>190.27100000000002</v>
      </c>
      <c r="T94" s="34">
        <f t="shared" si="25"/>
        <v>190.27100000000002</v>
      </c>
      <c r="U94" s="35">
        <f t="shared" si="26"/>
        <v>191</v>
      </c>
      <c r="V94" s="6"/>
    </row>
    <row r="95" spans="1:22" x14ac:dyDescent="0.25">
      <c r="A95" s="29" t="s">
        <v>28</v>
      </c>
      <c r="B95" s="28" t="s">
        <v>7</v>
      </c>
      <c r="C95" s="30">
        <v>0</v>
      </c>
      <c r="D95" s="30">
        <v>0</v>
      </c>
      <c r="E95" s="30">
        <v>0</v>
      </c>
      <c r="F95" s="30">
        <v>0</v>
      </c>
      <c r="G95" s="30">
        <v>0</v>
      </c>
      <c r="H95" s="30">
        <f>H80*2</f>
        <v>10</v>
      </c>
      <c r="I95" s="30">
        <v>0</v>
      </c>
      <c r="J95" s="30">
        <v>0</v>
      </c>
      <c r="K95" s="30">
        <v>0</v>
      </c>
      <c r="L95" s="30">
        <v>0</v>
      </c>
      <c r="M95" s="30">
        <v>0</v>
      </c>
      <c r="N95" s="30">
        <v>0</v>
      </c>
      <c r="O95" s="30">
        <v>0</v>
      </c>
      <c r="P95" s="30">
        <v>0</v>
      </c>
      <c r="Q95" s="30">
        <f>Q80*2</f>
        <v>8</v>
      </c>
      <c r="R95" s="30">
        <v>0</v>
      </c>
      <c r="S95" s="17">
        <f t="shared" si="27"/>
        <v>18</v>
      </c>
      <c r="T95" s="34">
        <f t="shared" si="25"/>
        <v>18</v>
      </c>
      <c r="U95" s="35">
        <f t="shared" si="26"/>
        <v>18</v>
      </c>
      <c r="V95" s="6"/>
    </row>
    <row r="96" spans="1:22" x14ac:dyDescent="0.25">
      <c r="A96" s="29" t="s">
        <v>29</v>
      </c>
      <c r="B96" s="28" t="s">
        <v>26</v>
      </c>
      <c r="C96" s="30">
        <v>0</v>
      </c>
      <c r="D96" s="30">
        <v>0</v>
      </c>
      <c r="E96" s="30">
        <v>0</v>
      </c>
      <c r="F96" s="30">
        <v>0</v>
      </c>
      <c r="G96" s="30">
        <v>0</v>
      </c>
      <c r="H96" s="30">
        <f>0.6*H81</f>
        <v>3</v>
      </c>
      <c r="I96" s="30">
        <v>0</v>
      </c>
      <c r="J96" s="30">
        <v>0</v>
      </c>
      <c r="K96" s="30">
        <v>0</v>
      </c>
      <c r="L96" s="30">
        <v>0</v>
      </c>
      <c r="M96" s="30">
        <v>0</v>
      </c>
      <c r="N96" s="30">
        <v>0</v>
      </c>
      <c r="O96" s="30">
        <v>0</v>
      </c>
      <c r="P96" s="30">
        <v>0</v>
      </c>
      <c r="Q96" s="30">
        <f>0.4*Q81</f>
        <v>1.6</v>
      </c>
      <c r="R96" s="30">
        <v>0</v>
      </c>
      <c r="S96" s="17">
        <f t="shared" si="27"/>
        <v>4.5999999999999996</v>
      </c>
      <c r="T96" s="34">
        <f t="shared" si="25"/>
        <v>4.5999999999999996</v>
      </c>
      <c r="U96" s="35">
        <f t="shared" si="26"/>
        <v>5</v>
      </c>
    </row>
    <row r="97" spans="1:22" x14ac:dyDescent="0.25">
      <c r="A97" s="29" t="s">
        <v>27</v>
      </c>
      <c r="B97" s="28" t="s">
        <v>26</v>
      </c>
      <c r="C97" s="30">
        <v>0</v>
      </c>
      <c r="D97" s="30">
        <v>0</v>
      </c>
      <c r="E97" s="30">
        <v>0</v>
      </c>
      <c r="F97" s="30">
        <v>0</v>
      </c>
      <c r="G97" s="30">
        <v>0</v>
      </c>
      <c r="H97" s="30">
        <f>0.6*H80</f>
        <v>3</v>
      </c>
      <c r="I97" s="30">
        <v>0</v>
      </c>
      <c r="J97" s="30">
        <v>0</v>
      </c>
      <c r="K97" s="30">
        <v>0</v>
      </c>
      <c r="L97" s="30">
        <v>0</v>
      </c>
      <c r="M97" s="30">
        <v>0</v>
      </c>
      <c r="N97" s="30">
        <v>0</v>
      </c>
      <c r="O97" s="30">
        <v>0</v>
      </c>
      <c r="P97" s="30">
        <v>0</v>
      </c>
      <c r="Q97" s="30">
        <f>0.4*Q80</f>
        <v>1.6</v>
      </c>
      <c r="R97" s="30">
        <v>0</v>
      </c>
      <c r="S97" s="17">
        <f t="shared" si="27"/>
        <v>4.5999999999999996</v>
      </c>
      <c r="T97" s="34">
        <f t="shared" si="25"/>
        <v>4.5999999999999996</v>
      </c>
      <c r="U97" s="35">
        <f t="shared" si="26"/>
        <v>5</v>
      </c>
    </row>
    <row r="98" spans="1:22" x14ac:dyDescent="0.25">
      <c r="A98" s="29" t="s">
        <v>30</v>
      </c>
      <c r="B98" s="28" t="s">
        <v>13</v>
      </c>
      <c r="C98" s="30">
        <f t="shared" ref="C98:I98" si="35">0.55*(C80/3)</f>
        <v>0.18333333333333335</v>
      </c>
      <c r="D98" s="30">
        <f t="shared" si="35"/>
        <v>0.91666666666666674</v>
      </c>
      <c r="E98" s="30">
        <f t="shared" si="35"/>
        <v>0.91666666666666674</v>
      </c>
      <c r="F98" s="30">
        <f t="shared" si="35"/>
        <v>0.91666666666666674</v>
      </c>
      <c r="G98" s="30">
        <f t="shared" si="35"/>
        <v>0.55000000000000004</v>
      </c>
      <c r="H98" s="30">
        <f t="shared" si="35"/>
        <v>0.91666666666666674</v>
      </c>
      <c r="I98" s="30">
        <f t="shared" si="35"/>
        <v>0.91666666666666674</v>
      </c>
      <c r="J98" s="30">
        <f>0.55*(J80/3)*2</f>
        <v>1.8333333333333335</v>
      </c>
      <c r="K98" s="30">
        <f>0.55*(K80/3)*3</f>
        <v>5.5</v>
      </c>
      <c r="L98" s="30">
        <f>0.55*(L80/3)*3</f>
        <v>3.3000000000000003</v>
      </c>
      <c r="M98" s="30">
        <f>0.55*(M80/3)*2</f>
        <v>2.9333333333333336</v>
      </c>
      <c r="N98" s="30">
        <f>0.55*(N80/3)*2</f>
        <v>3.3000000000000003</v>
      </c>
      <c r="O98" s="30">
        <f>0.55*(O80/3)*2</f>
        <v>1.8333333333333335</v>
      </c>
      <c r="P98" s="30">
        <f>0.55*(P80/3)*2</f>
        <v>1.8333333333333335</v>
      </c>
      <c r="Q98" s="30">
        <f>0.55*(Q80/3)</f>
        <v>0.73333333333333339</v>
      </c>
      <c r="R98" s="30">
        <f>0.55*(R80/3)*3</f>
        <v>111.9415</v>
      </c>
      <c r="S98" s="17">
        <f t="shared" si="27"/>
        <v>138.52483333333333</v>
      </c>
      <c r="T98" s="34">
        <f t="shared" si="25"/>
        <v>138.52483333333333</v>
      </c>
      <c r="U98" s="35">
        <f t="shared" si="26"/>
        <v>139</v>
      </c>
    </row>
    <row r="99" spans="1:22" x14ac:dyDescent="0.25">
      <c r="A99" s="29" t="s">
        <v>31</v>
      </c>
      <c r="B99" s="28" t="s">
        <v>9</v>
      </c>
      <c r="C99" s="30">
        <f t="shared" ref="C99:I99" si="36">C80/3</f>
        <v>0.33333333333333331</v>
      </c>
      <c r="D99" s="30">
        <f t="shared" si="36"/>
        <v>1.6666666666666667</v>
      </c>
      <c r="E99" s="30">
        <f t="shared" si="36"/>
        <v>1.6666666666666667</v>
      </c>
      <c r="F99" s="30">
        <f t="shared" si="36"/>
        <v>1.6666666666666667</v>
      </c>
      <c r="G99" s="30">
        <f t="shared" si="36"/>
        <v>1</v>
      </c>
      <c r="H99" s="30">
        <f t="shared" si="36"/>
        <v>1.6666666666666667</v>
      </c>
      <c r="I99" s="30">
        <f t="shared" si="36"/>
        <v>1.6666666666666667</v>
      </c>
      <c r="J99" s="30">
        <f t="shared" ref="J99:P99" si="37">J80/3*2</f>
        <v>3.3333333333333335</v>
      </c>
      <c r="K99" s="30">
        <f t="shared" si="37"/>
        <v>6.666666666666667</v>
      </c>
      <c r="L99" s="30">
        <f t="shared" si="37"/>
        <v>4</v>
      </c>
      <c r="M99" s="30">
        <f t="shared" si="37"/>
        <v>5.333333333333333</v>
      </c>
      <c r="N99" s="30">
        <f t="shared" si="37"/>
        <v>6</v>
      </c>
      <c r="O99" s="30">
        <f t="shared" si="37"/>
        <v>3.3333333333333335</v>
      </c>
      <c r="P99" s="30">
        <f t="shared" si="37"/>
        <v>3.3333333333333335</v>
      </c>
      <c r="Q99" s="30">
        <f>Q80/3</f>
        <v>1.3333333333333333</v>
      </c>
      <c r="R99" s="30">
        <f>R80/3*2</f>
        <v>135.68666666666667</v>
      </c>
      <c r="S99" s="17">
        <f t="shared" si="27"/>
        <v>178.68666666666667</v>
      </c>
      <c r="T99" s="34">
        <f t="shared" si="25"/>
        <v>178.68666666666667</v>
      </c>
      <c r="U99" s="35">
        <f t="shared" si="26"/>
        <v>179</v>
      </c>
    </row>
    <row r="100" spans="1:22" x14ac:dyDescent="0.25">
      <c r="A100" s="29" t="s">
        <v>32</v>
      </c>
      <c r="B100" s="28" t="s">
        <v>13</v>
      </c>
      <c r="C100" s="30">
        <f>C80*2</f>
        <v>2</v>
      </c>
      <c r="D100" s="30">
        <f>D80*4</f>
        <v>20</v>
      </c>
      <c r="E100" s="30">
        <f>E80*12</f>
        <v>60</v>
      </c>
      <c r="F100" s="30">
        <f>F80*8</f>
        <v>40</v>
      </c>
      <c r="G100" s="30">
        <f>G80*16</f>
        <v>48</v>
      </c>
      <c r="H100" s="30">
        <f>H80*24</f>
        <v>120</v>
      </c>
      <c r="I100" s="30">
        <f>I80*32</f>
        <v>160</v>
      </c>
      <c r="J100" s="30">
        <f>J80*40</f>
        <v>200</v>
      </c>
      <c r="K100" s="30">
        <f>K80*9</f>
        <v>90</v>
      </c>
      <c r="L100" s="30">
        <f>L80*9</f>
        <v>54</v>
      </c>
      <c r="M100" s="30">
        <f>M80*12</f>
        <v>96</v>
      </c>
      <c r="N100" s="30">
        <f>N80*12</f>
        <v>108</v>
      </c>
      <c r="O100" s="30">
        <f>O80*16</f>
        <v>80</v>
      </c>
      <c r="P100" s="30">
        <f>P80*16</f>
        <v>80</v>
      </c>
      <c r="Q100" s="30">
        <f>Q80*2</f>
        <v>8</v>
      </c>
      <c r="R100" s="30">
        <f>R80*2</f>
        <v>407.06</v>
      </c>
      <c r="S100" s="17">
        <f t="shared" si="27"/>
        <v>1573.06</v>
      </c>
      <c r="T100" s="34">
        <f t="shared" si="25"/>
        <v>1573.06</v>
      </c>
      <c r="U100" s="35">
        <f t="shared" si="26"/>
        <v>1574</v>
      </c>
    </row>
    <row r="101" spans="1:22" x14ac:dyDescent="0.25">
      <c r="A101" s="29" t="s">
        <v>33</v>
      </c>
      <c r="B101" s="28" t="s">
        <v>13</v>
      </c>
      <c r="C101" s="30">
        <f>C80*2</f>
        <v>2</v>
      </c>
      <c r="D101" s="30">
        <f>D80*4</f>
        <v>20</v>
      </c>
      <c r="E101" s="30">
        <f>E80*12</f>
        <v>60</v>
      </c>
      <c r="F101" s="30">
        <f>F80*8</f>
        <v>40</v>
      </c>
      <c r="G101" s="30">
        <f>G80*16</f>
        <v>48</v>
      </c>
      <c r="H101" s="30">
        <f>H80*24</f>
        <v>120</v>
      </c>
      <c r="I101" s="30">
        <f>I80*32</f>
        <v>160</v>
      </c>
      <c r="J101" s="30">
        <f>J80*40</f>
        <v>200</v>
      </c>
      <c r="K101" s="30">
        <f>K80*9</f>
        <v>90</v>
      </c>
      <c r="L101" s="30">
        <f>L80*9</f>
        <v>54</v>
      </c>
      <c r="M101" s="30">
        <f>M80*12</f>
        <v>96</v>
      </c>
      <c r="N101" s="30">
        <f>N80*12</f>
        <v>108</v>
      </c>
      <c r="O101" s="30">
        <f>O80*16</f>
        <v>80</v>
      </c>
      <c r="P101" s="30">
        <f>P80*16</f>
        <v>80</v>
      </c>
      <c r="Q101" s="30">
        <f>Q80*2</f>
        <v>8</v>
      </c>
      <c r="R101" s="30">
        <f>R80*2</f>
        <v>407.06</v>
      </c>
      <c r="S101" s="17">
        <f t="shared" si="27"/>
        <v>1573.06</v>
      </c>
      <c r="T101" s="18">
        <f t="shared" si="25"/>
        <v>1573.06</v>
      </c>
      <c r="U101" s="35">
        <f t="shared" si="26"/>
        <v>1574</v>
      </c>
    </row>
    <row r="102" spans="1:22" s="6" customFormat="1" x14ac:dyDescent="0.25">
      <c r="A102" s="23"/>
      <c r="B102" s="24"/>
      <c r="C102" s="25"/>
      <c r="D102" s="25"/>
      <c r="E102" s="25"/>
      <c r="F102" s="25"/>
      <c r="G102" s="25"/>
      <c r="H102" s="25"/>
      <c r="I102" s="25"/>
      <c r="J102" s="25"/>
      <c r="K102" s="25"/>
      <c r="L102" s="25"/>
      <c r="M102" s="25"/>
      <c r="N102" s="25"/>
      <c r="O102" s="25"/>
      <c r="P102" s="25"/>
      <c r="Q102" s="25"/>
      <c r="R102" s="25"/>
    </row>
    <row r="103" spans="1:22" s="6" customFormat="1" x14ac:dyDescent="0.25">
      <c r="A103" s="23"/>
      <c r="B103" s="24"/>
      <c r="C103" s="25"/>
      <c r="D103" s="25"/>
      <c r="E103" s="25"/>
      <c r="F103" s="25"/>
      <c r="G103" s="25"/>
      <c r="H103" s="25"/>
      <c r="I103" s="25"/>
      <c r="J103" s="25"/>
      <c r="K103" s="25"/>
      <c r="L103" s="25"/>
      <c r="M103" s="25"/>
      <c r="N103" s="25"/>
      <c r="O103" s="25"/>
      <c r="P103" s="25"/>
      <c r="Q103" s="25"/>
      <c r="R103" s="25"/>
    </row>
    <row r="104" spans="1:22" s="6" customFormat="1" x14ac:dyDescent="0.25">
      <c r="A104" s="23"/>
      <c r="B104" s="24"/>
      <c r="C104" s="25"/>
      <c r="D104" s="25"/>
      <c r="E104" s="25"/>
      <c r="F104" s="25"/>
      <c r="G104" s="25"/>
      <c r="H104" s="25"/>
      <c r="I104" s="25"/>
      <c r="J104" s="25"/>
      <c r="K104" s="25"/>
      <c r="L104" s="25"/>
      <c r="M104" s="25"/>
      <c r="N104" s="25"/>
      <c r="O104" s="25"/>
      <c r="P104" s="25"/>
      <c r="Q104" s="25"/>
      <c r="R104" s="25"/>
    </row>
    <row r="105" spans="1:22" s="6" customFormat="1" x14ac:dyDescent="0.25">
      <c r="A105" s="25"/>
      <c r="B105" s="25"/>
      <c r="C105" s="25"/>
      <c r="D105" s="25"/>
      <c r="E105" s="25"/>
      <c r="F105" s="25"/>
      <c r="G105" s="25"/>
      <c r="H105" s="25"/>
      <c r="I105" s="25"/>
      <c r="J105" s="25"/>
      <c r="K105" s="25"/>
      <c r="L105" s="25"/>
      <c r="M105" s="25"/>
      <c r="N105" s="25"/>
      <c r="O105" s="25"/>
      <c r="P105" s="25"/>
      <c r="Q105" s="25"/>
      <c r="R105" s="25"/>
    </row>
    <row r="106" spans="1:22" x14ac:dyDescent="0.25">
      <c r="A106" s="259" t="s">
        <v>40</v>
      </c>
      <c r="B106" s="259"/>
      <c r="C106" s="259"/>
      <c r="D106" s="259"/>
      <c r="E106" s="259"/>
      <c r="F106" s="259"/>
      <c r="G106" s="259"/>
      <c r="H106" s="259"/>
      <c r="I106" s="259"/>
      <c r="J106" s="259"/>
      <c r="K106" s="25"/>
    </row>
    <row r="107" spans="1:22" x14ac:dyDescent="0.25">
      <c r="A107" s="260" t="s">
        <v>76</v>
      </c>
      <c r="B107" s="260"/>
      <c r="C107" s="260"/>
      <c r="D107" s="260"/>
      <c r="E107" s="260"/>
      <c r="F107" s="260"/>
      <c r="G107" s="260"/>
      <c r="H107" s="260"/>
      <c r="I107" s="260"/>
      <c r="J107" s="260"/>
      <c r="K107" s="25"/>
    </row>
    <row r="108" spans="1:22" x14ac:dyDescent="0.25">
      <c r="A108" s="261" t="s">
        <v>15</v>
      </c>
      <c r="B108" s="261" t="s">
        <v>16</v>
      </c>
      <c r="C108" s="26" t="s">
        <v>41</v>
      </c>
      <c r="D108" s="26" t="s">
        <v>65</v>
      </c>
      <c r="E108" s="26" t="s">
        <v>45</v>
      </c>
      <c r="F108" s="26" t="s">
        <v>66</v>
      </c>
      <c r="G108" s="26" t="s">
        <v>46</v>
      </c>
      <c r="H108" s="26" t="s">
        <v>67</v>
      </c>
      <c r="I108" s="26" t="s">
        <v>17</v>
      </c>
      <c r="J108" s="18"/>
      <c r="K108" s="25"/>
      <c r="U108" s="6"/>
      <c r="V108" s="6"/>
    </row>
    <row r="109" spans="1:22" x14ac:dyDescent="0.25">
      <c r="A109" s="261"/>
      <c r="B109" s="261"/>
      <c r="C109" s="27">
        <v>2</v>
      </c>
      <c r="D109" s="27">
        <v>3</v>
      </c>
      <c r="E109" s="27">
        <v>4</v>
      </c>
      <c r="F109" s="27">
        <v>5</v>
      </c>
      <c r="G109" s="27">
        <v>6</v>
      </c>
      <c r="H109" s="27">
        <v>7</v>
      </c>
      <c r="I109" s="26">
        <f>SUM(C109:H109)</f>
        <v>27</v>
      </c>
      <c r="J109" s="18">
        <f>I109</f>
        <v>27</v>
      </c>
      <c r="K109" s="25"/>
      <c r="U109" s="6"/>
      <c r="V109" s="6"/>
    </row>
    <row r="110" spans="1:22" x14ac:dyDescent="0.25">
      <c r="A110" s="29" t="s">
        <v>19</v>
      </c>
      <c r="B110" s="28" t="s">
        <v>7</v>
      </c>
      <c r="C110" s="30">
        <f t="shared" ref="C110:H110" si="38">C109</f>
        <v>2</v>
      </c>
      <c r="D110" s="30">
        <f t="shared" si="38"/>
        <v>3</v>
      </c>
      <c r="E110" s="30">
        <f t="shared" si="38"/>
        <v>4</v>
      </c>
      <c r="F110" s="30">
        <f t="shared" si="38"/>
        <v>5</v>
      </c>
      <c r="G110" s="30">
        <f t="shared" si="38"/>
        <v>6</v>
      </c>
      <c r="H110" s="30">
        <f t="shared" si="38"/>
        <v>7</v>
      </c>
      <c r="I110" s="28">
        <f t="shared" ref="I110:I131" si="39">SUM(C110:H110)</f>
        <v>27</v>
      </c>
      <c r="J110" s="38">
        <f t="shared" ref="J110:J131" si="40">I110</f>
        <v>27</v>
      </c>
      <c r="K110" s="25"/>
      <c r="U110" s="6"/>
      <c r="V110" s="6"/>
    </row>
    <row r="111" spans="1:22" ht="25.5" x14ac:dyDescent="0.25">
      <c r="A111" s="29" t="s">
        <v>20</v>
      </c>
      <c r="B111" s="28" t="s">
        <v>21</v>
      </c>
      <c r="C111" s="30">
        <f>0.6*0.75*C109</f>
        <v>0.89999999999999991</v>
      </c>
      <c r="D111" s="30">
        <f>(0.8*0.85*D109)+(0.8*0.3*D109)</f>
        <v>2.76</v>
      </c>
      <c r="E111" s="30">
        <f>0.6*1.05*E109</f>
        <v>2.52</v>
      </c>
      <c r="F111" s="30">
        <f>(1*0.55*F109)+(0.8*0.275*F109)+(0.6*0.275*F109)</f>
        <v>4.6749999999999998</v>
      </c>
      <c r="G111" s="30">
        <f>0.8*1.05*G109</f>
        <v>5.0400000000000009</v>
      </c>
      <c r="H111" s="30">
        <f>(0.55*1.2*H109)+(0.275*1*H109)+(0.275*0.8*H109)</f>
        <v>8.0850000000000009</v>
      </c>
      <c r="I111" s="28">
        <f t="shared" si="39"/>
        <v>23.980000000000004</v>
      </c>
      <c r="J111" s="38">
        <f t="shared" si="40"/>
        <v>23.980000000000004</v>
      </c>
      <c r="K111" s="25"/>
      <c r="U111" s="6"/>
      <c r="V111" s="6"/>
    </row>
    <row r="112" spans="1:22" x14ac:dyDescent="0.25">
      <c r="A112" s="29" t="s">
        <v>22</v>
      </c>
      <c r="B112" s="28" t="s">
        <v>21</v>
      </c>
      <c r="C112" s="30">
        <f t="shared" ref="C112:H112" si="41">C109</f>
        <v>2</v>
      </c>
      <c r="D112" s="30">
        <f t="shared" si="41"/>
        <v>3</v>
      </c>
      <c r="E112" s="30">
        <f t="shared" si="41"/>
        <v>4</v>
      </c>
      <c r="F112" s="30">
        <f t="shared" si="41"/>
        <v>5</v>
      </c>
      <c r="G112" s="30">
        <f t="shared" si="41"/>
        <v>6</v>
      </c>
      <c r="H112" s="30">
        <f t="shared" si="41"/>
        <v>7</v>
      </c>
      <c r="I112" s="28">
        <f t="shared" si="39"/>
        <v>27</v>
      </c>
      <c r="J112" s="38">
        <f t="shared" si="40"/>
        <v>27</v>
      </c>
      <c r="U112" s="6"/>
      <c r="V112" s="6"/>
    </row>
    <row r="113" spans="1:30" ht="25.5" x14ac:dyDescent="0.25">
      <c r="A113" s="29" t="s">
        <v>23</v>
      </c>
      <c r="B113" s="28" t="s">
        <v>21</v>
      </c>
      <c r="C113" s="30">
        <f>((0.35*0.6*C109)-((0.0201*2)*C109))</f>
        <v>0.33960000000000001</v>
      </c>
      <c r="D113" s="30">
        <f>0.25*0.6*D109</f>
        <v>0.44999999999999996</v>
      </c>
      <c r="E113" s="30">
        <f>0.6*0.4*E109</f>
        <v>0.96</v>
      </c>
      <c r="F113" s="30">
        <f>(0.8*0.225*F109)+(0.6*0.225*F109)</f>
        <v>1.5750000000000002</v>
      </c>
      <c r="G113" s="30">
        <f>(0.65*0.8*G109)-(((0.0021237*2)*G109)+((0.0017349*18)*G109))</f>
        <v>2.9071464000000002</v>
      </c>
      <c r="H113" s="30">
        <f>(1*0.55*H109)-((0.0017349*18)*H109)</f>
        <v>3.6314026000000004</v>
      </c>
      <c r="I113" s="28">
        <f t="shared" si="39"/>
        <v>9.8631489999999999</v>
      </c>
      <c r="J113" s="38">
        <f t="shared" si="40"/>
        <v>9.8631489999999999</v>
      </c>
      <c r="U113" s="6"/>
      <c r="V113" s="6"/>
    </row>
    <row r="114" spans="1:30" ht="25.5" x14ac:dyDescent="0.25">
      <c r="A114" s="29" t="s">
        <v>43</v>
      </c>
      <c r="B114" s="28" t="s">
        <v>21</v>
      </c>
      <c r="C114" s="30">
        <f>0.6*0.4*C109</f>
        <v>0.48</v>
      </c>
      <c r="D114" s="30">
        <f>0.8*0.3*D109</f>
        <v>0.72</v>
      </c>
      <c r="E114" s="30">
        <f>(0.65*0.6*E109)-(((0.001963*2)*E109)+((0.0017349*12)*E109))</f>
        <v>1.4610208</v>
      </c>
      <c r="F114" s="30">
        <f>(0.3*1*F109)-((0.0021237*2)*F109)</f>
        <v>1.478763</v>
      </c>
      <c r="G114" s="30">
        <f>0.4*0.8*G109</f>
        <v>1.9200000000000004</v>
      </c>
      <c r="H114" s="30">
        <f>(0.3*1.2*H109)-((0.0021237*2)*H109)</f>
        <v>2.4902682</v>
      </c>
      <c r="I114" s="28">
        <f t="shared" si="39"/>
        <v>8.5500520000000009</v>
      </c>
      <c r="J114" s="38">
        <f t="shared" si="40"/>
        <v>8.5500520000000009</v>
      </c>
      <c r="U114" s="6"/>
      <c r="V114" s="6"/>
    </row>
    <row r="115" spans="1:30" x14ac:dyDescent="0.25">
      <c r="A115" s="29" t="s">
        <v>24</v>
      </c>
      <c r="B115" s="28" t="s">
        <v>21</v>
      </c>
      <c r="C115" s="30">
        <f>C111-C113</f>
        <v>0.5603999999999999</v>
      </c>
      <c r="D115" s="30">
        <f>D111-D114</f>
        <v>2.04</v>
      </c>
      <c r="E115" s="30">
        <f>E111-E114</f>
        <v>1.0589792</v>
      </c>
      <c r="F115" s="30">
        <f>F111-F114</f>
        <v>3.196237</v>
      </c>
      <c r="G115" s="30">
        <f>G111-G114</f>
        <v>3.1200000000000006</v>
      </c>
      <c r="H115" s="30">
        <f>H111-H114</f>
        <v>5.5947318000000008</v>
      </c>
      <c r="I115" s="28">
        <f t="shared" si="39"/>
        <v>15.570348000000003</v>
      </c>
      <c r="J115" s="38">
        <f t="shared" si="40"/>
        <v>15.570348000000003</v>
      </c>
      <c r="U115" s="6"/>
      <c r="V115" s="6"/>
      <c r="W115" s="6"/>
      <c r="X115" s="6"/>
      <c r="Y115" s="6"/>
      <c r="Z115" s="6"/>
      <c r="AA115" s="6"/>
      <c r="AB115" s="6"/>
      <c r="AC115" s="6"/>
      <c r="AD115" s="6"/>
    </row>
    <row r="116" spans="1:30" s="22" customFormat="1" ht="25.5" x14ac:dyDescent="0.25">
      <c r="A116" s="29" t="s">
        <v>70</v>
      </c>
      <c r="B116" s="28" t="s">
        <v>7</v>
      </c>
      <c r="C116" s="31">
        <f>C109*2</f>
        <v>4</v>
      </c>
      <c r="D116" s="31">
        <v>0</v>
      </c>
      <c r="E116" s="31">
        <v>0</v>
      </c>
      <c r="F116" s="31">
        <v>0</v>
      </c>
      <c r="G116" s="31">
        <v>0</v>
      </c>
      <c r="H116" s="31">
        <v>0</v>
      </c>
      <c r="I116" s="28">
        <f t="shared" si="39"/>
        <v>4</v>
      </c>
      <c r="J116" s="38">
        <f t="shared" si="40"/>
        <v>4</v>
      </c>
      <c r="K116"/>
      <c r="L116"/>
      <c r="M116"/>
      <c r="N116"/>
      <c r="O116"/>
      <c r="P116"/>
      <c r="Q116"/>
      <c r="R116"/>
      <c r="S116"/>
      <c r="T116"/>
      <c r="U116" s="7"/>
      <c r="V116" s="7"/>
      <c r="W116" s="7"/>
      <c r="X116" s="7"/>
      <c r="Y116" s="7"/>
      <c r="Z116" s="7"/>
      <c r="AA116" s="7"/>
      <c r="AB116" s="7"/>
      <c r="AC116" s="7"/>
      <c r="AD116" s="7"/>
    </row>
    <row r="117" spans="1:30" s="22" customFormat="1" ht="25.5" x14ac:dyDescent="0.25">
      <c r="A117" s="29" t="s">
        <v>25</v>
      </c>
      <c r="B117" s="28" t="s">
        <v>7</v>
      </c>
      <c r="C117" s="31">
        <f>1*C109</f>
        <v>2</v>
      </c>
      <c r="D117" s="31">
        <f>1*D109</f>
        <v>3</v>
      </c>
      <c r="E117" s="31">
        <f>2*E109</f>
        <v>8</v>
      </c>
      <c r="F117" s="31">
        <f>2*F109</f>
        <v>10</v>
      </c>
      <c r="G117" s="31">
        <f>2*G109</f>
        <v>12</v>
      </c>
      <c r="H117" s="31">
        <f>2*H109</f>
        <v>14</v>
      </c>
      <c r="I117" s="28">
        <f t="shared" si="39"/>
        <v>49</v>
      </c>
      <c r="J117" s="38">
        <f t="shared" si="40"/>
        <v>49</v>
      </c>
      <c r="K117"/>
      <c r="L117"/>
      <c r="M117"/>
      <c r="N117"/>
      <c r="O117"/>
      <c r="P117"/>
      <c r="Q117"/>
      <c r="R117"/>
      <c r="S117"/>
      <c r="T117"/>
      <c r="U117" s="7"/>
      <c r="V117" s="7"/>
      <c r="W117" s="7"/>
      <c r="X117" s="7"/>
      <c r="Y117" s="7"/>
      <c r="Z117" s="7"/>
      <c r="AA117" s="7"/>
      <c r="AB117" s="7"/>
      <c r="AC117" s="7"/>
      <c r="AD117" s="7"/>
    </row>
    <row r="118" spans="1:30" s="22" customFormat="1" x14ac:dyDescent="0.25">
      <c r="A118" s="29" t="s">
        <v>68</v>
      </c>
      <c r="B118" s="28" t="s">
        <v>21</v>
      </c>
      <c r="C118" s="31">
        <v>0</v>
      </c>
      <c r="D118" s="31">
        <f>0.2*0.8*D109</f>
        <v>0.48000000000000009</v>
      </c>
      <c r="E118" s="31">
        <v>0</v>
      </c>
      <c r="F118" s="31">
        <f>0.2*1*F109</f>
        <v>1</v>
      </c>
      <c r="G118" s="31">
        <v>0</v>
      </c>
      <c r="H118" s="31">
        <f>0.2*1.2*H109</f>
        <v>1.68</v>
      </c>
      <c r="I118" s="28">
        <f t="shared" si="39"/>
        <v>3.16</v>
      </c>
      <c r="J118" s="38">
        <f t="shared" si="40"/>
        <v>3.16</v>
      </c>
      <c r="K118"/>
      <c r="L118"/>
      <c r="M118"/>
      <c r="N118"/>
      <c r="O118"/>
      <c r="P118"/>
      <c r="Q118"/>
      <c r="R118"/>
      <c r="S118"/>
      <c r="T118"/>
      <c r="U118" s="7"/>
      <c r="V118" s="7"/>
      <c r="W118" s="7"/>
      <c r="X118" s="7"/>
      <c r="Y118" s="7"/>
      <c r="Z118" s="7"/>
      <c r="AA118" s="7"/>
      <c r="AB118" s="7"/>
      <c r="AC118" s="7"/>
      <c r="AD118" s="7"/>
    </row>
    <row r="119" spans="1:30" s="22" customFormat="1" x14ac:dyDescent="0.25">
      <c r="A119" s="29" t="s">
        <v>72</v>
      </c>
      <c r="B119" s="28" t="s">
        <v>71</v>
      </c>
      <c r="C119" s="31">
        <v>0</v>
      </c>
      <c r="D119" s="31">
        <f>(0.05*0.8*D109)+(0.05*0.6*D109)</f>
        <v>0.21000000000000002</v>
      </c>
      <c r="E119" s="31">
        <v>0</v>
      </c>
      <c r="F119" s="31">
        <f>(0.05*0.8*F109)+(0.025*0.6*F109)</f>
        <v>0.27500000000000002</v>
      </c>
      <c r="G119" s="31">
        <v>0</v>
      </c>
      <c r="H119" s="31">
        <f>(0.025*0.8*H109)+(1*0.05*H109)+(0.05*1.2*H109)</f>
        <v>0.91</v>
      </c>
      <c r="I119" s="28">
        <f t="shared" si="39"/>
        <v>1.395</v>
      </c>
      <c r="J119" s="38">
        <f t="shared" si="40"/>
        <v>1.395</v>
      </c>
      <c r="K119"/>
      <c r="L119"/>
      <c r="M119"/>
      <c r="N119"/>
      <c r="O119"/>
      <c r="P119"/>
      <c r="Q119"/>
      <c r="R119"/>
      <c r="S119"/>
      <c r="T119"/>
      <c r="U119" s="7"/>
      <c r="V119" s="7"/>
      <c r="W119" s="7"/>
      <c r="X119" s="7"/>
      <c r="Y119" s="7"/>
      <c r="Z119" s="7"/>
      <c r="AA119" s="7"/>
      <c r="AB119" s="7"/>
      <c r="AC119" s="7"/>
      <c r="AD119" s="7"/>
    </row>
    <row r="120" spans="1:30" s="22" customFormat="1" x14ac:dyDescent="0.25">
      <c r="A120" s="29" t="s">
        <v>69</v>
      </c>
      <c r="B120" s="28" t="s">
        <v>7</v>
      </c>
      <c r="C120" s="31">
        <f>1*C109</f>
        <v>2</v>
      </c>
      <c r="D120" s="31">
        <v>0</v>
      </c>
      <c r="E120" s="31">
        <f>E109*1</f>
        <v>4</v>
      </c>
      <c r="F120" s="31">
        <v>0</v>
      </c>
      <c r="G120" s="31">
        <f>1*G109</f>
        <v>6</v>
      </c>
      <c r="H120" s="31">
        <v>0</v>
      </c>
      <c r="I120" s="28">
        <f t="shared" si="39"/>
        <v>12</v>
      </c>
      <c r="J120" s="38">
        <f t="shared" si="40"/>
        <v>12</v>
      </c>
      <c r="K120"/>
      <c r="L120"/>
      <c r="M120"/>
      <c r="N120"/>
      <c r="O120"/>
      <c r="P120"/>
      <c r="Q120"/>
      <c r="R120"/>
      <c r="S120"/>
      <c r="T120"/>
      <c r="U120" s="7"/>
      <c r="V120" s="7"/>
      <c r="W120" s="7"/>
      <c r="X120" s="7"/>
      <c r="Y120" s="7"/>
      <c r="Z120" s="7"/>
      <c r="AA120" s="7"/>
      <c r="AB120" s="7"/>
      <c r="AC120" s="7"/>
      <c r="AD120" s="7"/>
    </row>
    <row r="121" spans="1:30" x14ac:dyDescent="0.25">
      <c r="A121" s="36" t="s">
        <v>37</v>
      </c>
      <c r="B121" s="16" t="s">
        <v>7</v>
      </c>
      <c r="C121" s="21">
        <v>0</v>
      </c>
      <c r="D121" s="21">
        <f>2*D109</f>
        <v>6</v>
      </c>
      <c r="E121" s="21">
        <f>2*E109</f>
        <v>8</v>
      </c>
      <c r="F121" s="21">
        <f>2*F109</f>
        <v>10</v>
      </c>
      <c r="G121" s="21">
        <f>2*G109</f>
        <v>12</v>
      </c>
      <c r="H121" s="21">
        <v>0</v>
      </c>
      <c r="I121" s="16">
        <f t="shared" si="39"/>
        <v>36</v>
      </c>
      <c r="J121" s="37">
        <f t="shared" si="40"/>
        <v>36</v>
      </c>
      <c r="U121" s="6"/>
      <c r="V121" s="6"/>
      <c r="W121" s="6"/>
      <c r="X121" s="6"/>
      <c r="Y121" s="6"/>
      <c r="Z121" s="6"/>
      <c r="AA121" s="6"/>
      <c r="AB121" s="6"/>
      <c r="AC121" s="6"/>
      <c r="AD121" s="6"/>
    </row>
    <row r="122" spans="1:30" x14ac:dyDescent="0.25">
      <c r="A122" s="36" t="s">
        <v>38</v>
      </c>
      <c r="B122" s="16" t="s">
        <v>26</v>
      </c>
      <c r="C122" s="21">
        <v>0</v>
      </c>
      <c r="D122" s="21">
        <f t="shared" ref="D122:F123" si="42">0.6*D109</f>
        <v>1.7999999999999998</v>
      </c>
      <c r="E122" s="21">
        <f t="shared" si="42"/>
        <v>2.4</v>
      </c>
      <c r="F122" s="21">
        <f t="shared" si="42"/>
        <v>3</v>
      </c>
      <c r="G122" s="21">
        <f>0.8*G109</f>
        <v>4.8000000000000007</v>
      </c>
      <c r="H122" s="21">
        <v>0</v>
      </c>
      <c r="I122" s="16">
        <f t="shared" si="39"/>
        <v>12</v>
      </c>
      <c r="J122" s="37">
        <f t="shared" si="40"/>
        <v>12</v>
      </c>
      <c r="U122" s="6"/>
      <c r="V122" s="6"/>
    </row>
    <row r="123" spans="1:30" x14ac:dyDescent="0.25">
      <c r="A123" s="36" t="s">
        <v>39</v>
      </c>
      <c r="B123" s="16" t="s">
        <v>26</v>
      </c>
      <c r="C123" s="21">
        <v>0</v>
      </c>
      <c r="D123" s="21">
        <f t="shared" si="42"/>
        <v>1.7999999999999998</v>
      </c>
      <c r="E123" s="21">
        <f t="shared" si="42"/>
        <v>2.4</v>
      </c>
      <c r="F123" s="21">
        <f t="shared" si="42"/>
        <v>3</v>
      </c>
      <c r="G123" s="21">
        <v>0</v>
      </c>
      <c r="H123" s="21">
        <v>0</v>
      </c>
      <c r="I123" s="16">
        <f t="shared" si="39"/>
        <v>7.1999999999999993</v>
      </c>
      <c r="J123" s="37">
        <f t="shared" si="40"/>
        <v>7.1999999999999993</v>
      </c>
      <c r="U123" s="6"/>
      <c r="V123" s="6"/>
    </row>
    <row r="124" spans="1:30" x14ac:dyDescent="0.25">
      <c r="A124" s="36" t="s">
        <v>28</v>
      </c>
      <c r="B124" s="16" t="s">
        <v>7</v>
      </c>
      <c r="C124" s="21">
        <v>0</v>
      </c>
      <c r="D124" s="21">
        <v>0</v>
      </c>
      <c r="E124" s="21">
        <v>0</v>
      </c>
      <c r="F124" s="21">
        <v>0</v>
      </c>
      <c r="G124" s="21">
        <v>0</v>
      </c>
      <c r="H124" s="21">
        <f>H109*2</f>
        <v>14</v>
      </c>
      <c r="I124" s="16">
        <f t="shared" si="39"/>
        <v>14</v>
      </c>
      <c r="J124" s="37">
        <f t="shared" si="40"/>
        <v>14</v>
      </c>
      <c r="U124" s="6"/>
      <c r="V124" s="6"/>
    </row>
    <row r="125" spans="1:30" x14ac:dyDescent="0.25">
      <c r="A125" s="36" t="s">
        <v>29</v>
      </c>
      <c r="B125" s="16" t="s">
        <v>26</v>
      </c>
      <c r="C125" s="21">
        <v>0</v>
      </c>
      <c r="D125" s="21">
        <v>0</v>
      </c>
      <c r="E125" s="21">
        <v>0</v>
      </c>
      <c r="F125" s="21">
        <v>0</v>
      </c>
      <c r="G125" s="21">
        <v>0</v>
      </c>
      <c r="H125" s="21">
        <f>0.6*H110</f>
        <v>4.2</v>
      </c>
      <c r="I125" s="16">
        <f t="shared" si="39"/>
        <v>4.2</v>
      </c>
      <c r="J125" s="37">
        <f t="shared" si="40"/>
        <v>4.2</v>
      </c>
    </row>
    <row r="126" spans="1:30" x14ac:dyDescent="0.25">
      <c r="A126" s="36" t="s">
        <v>27</v>
      </c>
      <c r="B126" s="16" t="s">
        <v>26</v>
      </c>
      <c r="C126" s="21">
        <v>0</v>
      </c>
      <c r="D126" s="21">
        <v>0</v>
      </c>
      <c r="E126" s="21">
        <v>0</v>
      </c>
      <c r="F126" s="21">
        <v>0</v>
      </c>
      <c r="G126" s="21">
        <v>0</v>
      </c>
      <c r="H126" s="21">
        <f>0.6*H109</f>
        <v>4.2</v>
      </c>
      <c r="I126" s="16">
        <f t="shared" si="39"/>
        <v>4.2</v>
      </c>
      <c r="J126" s="37">
        <f t="shared" si="40"/>
        <v>4.2</v>
      </c>
    </row>
    <row r="127" spans="1:30" x14ac:dyDescent="0.25">
      <c r="A127" s="36" t="s">
        <v>30</v>
      </c>
      <c r="B127" s="16" t="s">
        <v>13</v>
      </c>
      <c r="C127" s="21">
        <f t="shared" ref="C127:H127" si="43">0.55*(C109/3)</f>
        <v>0.3666666666666667</v>
      </c>
      <c r="D127" s="21">
        <f t="shared" si="43"/>
        <v>0.55000000000000004</v>
      </c>
      <c r="E127" s="21">
        <f t="shared" si="43"/>
        <v>0.73333333333333339</v>
      </c>
      <c r="F127" s="21">
        <f t="shared" si="43"/>
        <v>0.91666666666666674</v>
      </c>
      <c r="G127" s="21">
        <f t="shared" si="43"/>
        <v>1.1000000000000001</v>
      </c>
      <c r="H127" s="21">
        <f t="shared" si="43"/>
        <v>1.2833333333333334</v>
      </c>
      <c r="I127" s="16">
        <f t="shared" si="39"/>
        <v>4.95</v>
      </c>
      <c r="J127" s="37">
        <f t="shared" si="40"/>
        <v>4.95</v>
      </c>
    </row>
    <row r="128" spans="1:30" x14ac:dyDescent="0.25">
      <c r="A128" s="36" t="s">
        <v>31</v>
      </c>
      <c r="B128" s="16" t="s">
        <v>9</v>
      </c>
      <c r="C128" s="21">
        <f t="shared" ref="C128:H128" si="44">C109/3</f>
        <v>0.66666666666666663</v>
      </c>
      <c r="D128" s="21">
        <f t="shared" si="44"/>
        <v>1</v>
      </c>
      <c r="E128" s="21">
        <f t="shared" si="44"/>
        <v>1.3333333333333333</v>
      </c>
      <c r="F128" s="21">
        <f t="shared" si="44"/>
        <v>1.6666666666666667</v>
      </c>
      <c r="G128" s="21">
        <f t="shared" si="44"/>
        <v>2</v>
      </c>
      <c r="H128" s="21">
        <f t="shared" si="44"/>
        <v>2.3333333333333335</v>
      </c>
      <c r="I128" s="16">
        <f t="shared" si="39"/>
        <v>9</v>
      </c>
      <c r="J128" s="37">
        <f t="shared" si="40"/>
        <v>9</v>
      </c>
    </row>
    <row r="129" spans="1:10" x14ac:dyDescent="0.25">
      <c r="A129" s="36" t="s">
        <v>32</v>
      </c>
      <c r="B129" s="16" t="s">
        <v>13</v>
      </c>
      <c r="C129" s="21">
        <f>C109*3</f>
        <v>6</v>
      </c>
      <c r="D129" s="21">
        <f>D109*4</f>
        <v>12</v>
      </c>
      <c r="E129" s="21">
        <f>E109*5</f>
        <v>20</v>
      </c>
      <c r="F129" s="21">
        <f>F109*6</f>
        <v>30</v>
      </c>
      <c r="G129" s="21">
        <f>G109*8</f>
        <v>48</v>
      </c>
      <c r="H129" s="21">
        <f>H109*2</f>
        <v>14</v>
      </c>
      <c r="I129" s="16">
        <f t="shared" si="39"/>
        <v>130</v>
      </c>
      <c r="J129" s="37">
        <f t="shared" si="40"/>
        <v>130</v>
      </c>
    </row>
    <row r="130" spans="1:10" x14ac:dyDescent="0.25">
      <c r="A130" s="36" t="s">
        <v>33</v>
      </c>
      <c r="B130" s="16" t="s">
        <v>13</v>
      </c>
      <c r="C130" s="21">
        <f>C109*3</f>
        <v>6</v>
      </c>
      <c r="D130" s="21">
        <f>D109*4</f>
        <v>12</v>
      </c>
      <c r="E130" s="21">
        <f>E109*5</f>
        <v>20</v>
      </c>
      <c r="F130" s="21">
        <f>F109*6</f>
        <v>30</v>
      </c>
      <c r="G130" s="21">
        <f>G109*8</f>
        <v>48</v>
      </c>
      <c r="H130" s="21">
        <f>H109*2</f>
        <v>14</v>
      </c>
      <c r="I130" s="16">
        <f t="shared" si="39"/>
        <v>130</v>
      </c>
      <c r="J130" s="37">
        <f t="shared" si="40"/>
        <v>130</v>
      </c>
    </row>
    <row r="131" spans="1:10" x14ac:dyDescent="0.25">
      <c r="A131" s="36"/>
      <c r="B131" s="16"/>
      <c r="C131" s="21"/>
      <c r="D131" s="21"/>
      <c r="E131" s="21"/>
      <c r="F131" s="21"/>
      <c r="G131" s="21"/>
      <c r="H131" s="21"/>
      <c r="I131" s="16">
        <f t="shared" si="39"/>
        <v>0</v>
      </c>
      <c r="J131" s="37">
        <f t="shared" si="40"/>
        <v>0</v>
      </c>
    </row>
  </sheetData>
  <mergeCells count="14">
    <mergeCell ref="A8:R8"/>
    <mergeCell ref="A37:J37"/>
    <mergeCell ref="A36:J36"/>
    <mergeCell ref="A78:R78"/>
    <mergeCell ref="A79:A80"/>
    <mergeCell ref="B79:B80"/>
    <mergeCell ref="A9:A10"/>
    <mergeCell ref="B9:B10"/>
    <mergeCell ref="A106:J106"/>
    <mergeCell ref="A107:J107"/>
    <mergeCell ref="A108:A109"/>
    <mergeCell ref="B108:B109"/>
    <mergeCell ref="A38:A39"/>
    <mergeCell ref="B38:B39"/>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K14"/>
  <sheetViews>
    <sheetView topLeftCell="A7" zoomScaleNormal="100" workbookViewId="0">
      <selection activeCell="G9" sqref="G9:G13"/>
    </sheetView>
  </sheetViews>
  <sheetFormatPr baseColWidth="10" defaultRowHeight="15" x14ac:dyDescent="0.25"/>
  <cols>
    <col min="1" max="1" width="54.42578125" customWidth="1"/>
    <col min="3" max="3" width="19" customWidth="1"/>
    <col min="4" max="5" width="20.42578125" customWidth="1"/>
    <col min="6" max="6" width="20.140625" customWidth="1"/>
    <col min="7" max="7" width="18.140625" customWidth="1"/>
  </cols>
  <sheetData>
    <row r="6" spans="1:11" x14ac:dyDescent="0.25">
      <c r="A6" s="264" t="s">
        <v>84</v>
      </c>
      <c r="B6" s="265"/>
      <c r="C6" s="265"/>
      <c r="D6" s="265"/>
      <c r="E6" s="265"/>
      <c r="F6" s="265"/>
      <c r="G6" s="265"/>
      <c r="H6" s="265"/>
      <c r="I6" s="265"/>
    </row>
    <row r="7" spans="1:11" ht="25.5" customHeight="1" x14ac:dyDescent="0.25">
      <c r="A7" s="263" t="s">
        <v>15</v>
      </c>
      <c r="B7" s="263" t="s">
        <v>16</v>
      </c>
      <c r="C7" s="16" t="s">
        <v>85</v>
      </c>
      <c r="D7" s="16" t="s">
        <v>86</v>
      </c>
      <c r="E7" s="16" t="s">
        <v>87</v>
      </c>
      <c r="F7" s="16" t="s">
        <v>88</v>
      </c>
      <c r="G7" s="16" t="s">
        <v>89</v>
      </c>
      <c r="H7" s="17" t="s">
        <v>17</v>
      </c>
      <c r="I7" s="18"/>
      <c r="J7" s="6"/>
      <c r="K7" s="6"/>
    </row>
    <row r="8" spans="1:11" x14ac:dyDescent="0.25">
      <c r="A8" s="263"/>
      <c r="B8" s="263"/>
      <c r="C8" s="33">
        <v>2265</v>
      </c>
      <c r="D8" s="33">
        <v>205</v>
      </c>
      <c r="E8" s="33">
        <v>15</v>
      </c>
      <c r="F8" s="33">
        <v>205</v>
      </c>
      <c r="G8" s="33">
        <v>102</v>
      </c>
      <c r="H8" s="17">
        <f t="shared" ref="H8:H13" si="0">SUM(C8:G8)</f>
        <v>2792</v>
      </c>
      <c r="I8" s="34">
        <f t="shared" ref="I8:I13" si="1">H8</f>
        <v>2792</v>
      </c>
      <c r="J8" s="35">
        <f t="shared" ref="J8:J13" si="2">_xlfn.CEILING.PRECISE(I8,1)</f>
        <v>2792</v>
      </c>
      <c r="K8" s="6"/>
    </row>
    <row r="9" spans="1:11" ht="25.5" x14ac:dyDescent="0.25">
      <c r="A9" s="29" t="s">
        <v>90</v>
      </c>
      <c r="B9" s="28" t="s">
        <v>7</v>
      </c>
      <c r="C9" s="30">
        <f>(0.6+0.6+0.6+0.6)*C8</f>
        <v>5436</v>
      </c>
      <c r="D9" s="30">
        <f>(1+1+1+1)*D8</f>
        <v>820</v>
      </c>
      <c r="E9" s="30">
        <f>(1.2+1.2+1.2+1.2)*E8</f>
        <v>72</v>
      </c>
      <c r="F9" s="30">
        <f>(1.6+1.6+1.2+1.2)*F8</f>
        <v>1148</v>
      </c>
      <c r="G9" s="30">
        <f>(2.7+2.7+1.5+1.5)*G8</f>
        <v>856.80000000000007</v>
      </c>
      <c r="H9" s="17">
        <f t="shared" si="0"/>
        <v>8332.7999999999993</v>
      </c>
      <c r="I9" s="34">
        <f t="shared" si="1"/>
        <v>8332.7999999999993</v>
      </c>
      <c r="J9" s="35">
        <f t="shared" si="2"/>
        <v>8333</v>
      </c>
      <c r="K9" s="6"/>
    </row>
    <row r="10" spans="1:11" ht="38.25" x14ac:dyDescent="0.25">
      <c r="A10" s="29" t="s">
        <v>20</v>
      </c>
      <c r="B10" s="28" t="s">
        <v>21</v>
      </c>
      <c r="C10" s="30">
        <f>(0.75*0.75*1)*C8</f>
        <v>1274.0625</v>
      </c>
      <c r="D10" s="30">
        <f>(1.1*1.1*1)*D8</f>
        <v>248.05000000000004</v>
      </c>
      <c r="E10" s="30">
        <f>(1.4*1.4*1)*E8</f>
        <v>29.399999999999995</v>
      </c>
      <c r="F10" s="30">
        <f>(1.8*1.4*1)*F8</f>
        <v>516.6</v>
      </c>
      <c r="G10" s="30">
        <f>(2.9*1.7*1)*G8</f>
        <v>502.85999999999996</v>
      </c>
      <c r="H10" s="17">
        <f t="shared" si="0"/>
        <v>2570.9725000000003</v>
      </c>
      <c r="I10" s="34">
        <f t="shared" si="1"/>
        <v>2570.9725000000003</v>
      </c>
      <c r="J10" s="35">
        <f t="shared" si="2"/>
        <v>2571</v>
      </c>
      <c r="K10" s="6"/>
    </row>
    <row r="11" spans="1:11" ht="51" x14ac:dyDescent="0.25">
      <c r="A11" s="29" t="s">
        <v>43</v>
      </c>
      <c r="B11" s="28" t="s">
        <v>44</v>
      </c>
      <c r="C11" s="30">
        <f>C10-((0.6*0.6*1)*C8)</f>
        <v>458.66250000000002</v>
      </c>
      <c r="D11" s="30">
        <f>D10-((1*1*1)*D8)</f>
        <v>43.05000000000004</v>
      </c>
      <c r="E11" s="30">
        <f>E10-((1.2*1.2*1)*E8)</f>
        <v>7.7999999999999972</v>
      </c>
      <c r="F11" s="30">
        <f>F10-((1.6*1.2*1)*F8)</f>
        <v>123.00000000000006</v>
      </c>
      <c r="G11" s="30">
        <f>G10-((2.7*1.5*1)*G8)</f>
        <v>89.759999999999877</v>
      </c>
      <c r="H11" s="17">
        <f t="shared" si="0"/>
        <v>722.27250000000004</v>
      </c>
      <c r="I11" s="34">
        <f t="shared" si="1"/>
        <v>722.27250000000004</v>
      </c>
      <c r="J11" s="35">
        <f t="shared" si="2"/>
        <v>723</v>
      </c>
      <c r="K11" s="6"/>
    </row>
    <row r="12" spans="1:11" x14ac:dyDescent="0.25">
      <c r="A12" s="29" t="s">
        <v>24</v>
      </c>
      <c r="B12" s="28" t="s">
        <v>21</v>
      </c>
      <c r="C12" s="30">
        <f>C10-C11</f>
        <v>815.4</v>
      </c>
      <c r="D12" s="30">
        <f>D10-D11</f>
        <v>205</v>
      </c>
      <c r="E12" s="30">
        <f>E10-E11</f>
        <v>21.599999999999998</v>
      </c>
      <c r="F12" s="30">
        <f>F10-F11</f>
        <v>393.59999999999997</v>
      </c>
      <c r="G12" s="30">
        <f>G10-G11</f>
        <v>413.10000000000008</v>
      </c>
      <c r="H12" s="17">
        <f t="shared" si="0"/>
        <v>1848.7</v>
      </c>
      <c r="I12" s="34">
        <f t="shared" si="1"/>
        <v>1848.7</v>
      </c>
      <c r="J12" s="35">
        <f t="shared" si="2"/>
        <v>1849</v>
      </c>
      <c r="K12" s="6"/>
    </row>
    <row r="13" spans="1:11" ht="25.5" x14ac:dyDescent="0.25">
      <c r="A13" s="29" t="s">
        <v>91</v>
      </c>
      <c r="B13" s="28" t="s">
        <v>21</v>
      </c>
      <c r="C13" s="30">
        <f>(3*(0.15*0.076*0.076))*C8</f>
        <v>5.8871880000000001</v>
      </c>
      <c r="D13" s="30">
        <f>(3*(0.15*0.076*0.076))*D8</f>
        <v>0.53283599999999998</v>
      </c>
      <c r="E13" s="30">
        <f>(3*(0.15*0.076*0.076))*E8</f>
        <v>3.8987999999999995E-2</v>
      </c>
      <c r="F13" s="30">
        <f>(3*(0.15*0.076*0.076))*F8</f>
        <v>0.53283599999999998</v>
      </c>
      <c r="G13" s="30">
        <f>(3*(0.15*0.076*0.076))*G8</f>
        <v>0.26511839999999998</v>
      </c>
      <c r="H13" s="17">
        <f t="shared" si="0"/>
        <v>7.2569663999999996</v>
      </c>
      <c r="I13" s="34">
        <f t="shared" si="1"/>
        <v>7.2569663999999996</v>
      </c>
      <c r="J13" s="35">
        <f t="shared" si="2"/>
        <v>8</v>
      </c>
      <c r="K13" s="6"/>
    </row>
    <row r="14" spans="1:11" ht="13.5" customHeight="1" x14ac:dyDescent="0.25"/>
  </sheetData>
  <mergeCells count="3">
    <mergeCell ref="A7:A8"/>
    <mergeCell ref="B7:B8"/>
    <mergeCell ref="A6:I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72"/>
  <sheetViews>
    <sheetView topLeftCell="A10" zoomScale="85" zoomScaleNormal="85" workbookViewId="0">
      <selection activeCell="F32" sqref="F32"/>
    </sheetView>
  </sheetViews>
  <sheetFormatPr baseColWidth="10" defaultRowHeight="12.75" x14ac:dyDescent="0.2"/>
  <cols>
    <col min="1" max="1" width="4.5703125" style="46" customWidth="1"/>
    <col min="2" max="2" width="7.42578125" style="46" customWidth="1"/>
    <col min="3" max="3" width="60.42578125" style="46" customWidth="1"/>
    <col min="4" max="4" width="9.5703125" style="46" customWidth="1"/>
    <col min="5" max="5" width="8.5703125" style="49" customWidth="1"/>
    <col min="6" max="6" width="13.5703125" style="216" bestFit="1" customWidth="1"/>
    <col min="7" max="7" width="8.5703125" style="44" customWidth="1"/>
    <col min="8" max="8" width="11.42578125" style="45" customWidth="1"/>
    <col min="9" max="9" width="14.42578125" style="46" bestFit="1" customWidth="1"/>
    <col min="10" max="10" width="8.5703125" style="46" customWidth="1"/>
    <col min="11" max="11" width="13.5703125" style="216" bestFit="1" customWidth="1"/>
    <col min="12" max="12" width="8.5703125" style="46" customWidth="1"/>
    <col min="13" max="13" width="14.42578125" style="47" bestFit="1" customWidth="1"/>
    <col min="14" max="14" width="13.140625" style="48" bestFit="1" customWidth="1"/>
    <col min="15" max="15" width="14.42578125" style="49" bestFit="1" customWidth="1"/>
    <col min="16" max="17" width="8.5703125" style="46" customWidth="1"/>
    <col min="18" max="18" width="13.5703125" style="216" bestFit="1" customWidth="1"/>
    <col min="19" max="19" width="8.5703125" style="46" customWidth="1"/>
    <col min="20" max="20" width="13.5703125" style="216" bestFit="1" customWidth="1"/>
    <col min="21" max="21" width="8.5703125" style="46" customWidth="1"/>
    <col min="22" max="22" width="8.5703125" style="51" customWidth="1"/>
    <col min="23" max="23" width="8.5703125" style="46" customWidth="1"/>
    <col min="24" max="24" width="13.5703125" style="216" bestFit="1" customWidth="1"/>
    <col min="25" max="25" width="8.5703125" style="51" customWidth="1"/>
    <col min="26" max="26" width="14.42578125" style="49" bestFit="1" customWidth="1"/>
    <col min="27" max="27" width="13.5703125" style="216" bestFit="1" customWidth="1"/>
    <col min="28" max="29" width="8.5703125" style="49" customWidth="1"/>
    <col min="30" max="30" width="14.42578125" style="52" bestFit="1" customWidth="1"/>
    <col min="31" max="31" width="8.5703125" style="53" customWidth="1"/>
    <col min="32" max="32" width="13.5703125" style="216" bestFit="1" customWidth="1"/>
    <col min="33" max="33" width="8.5703125" style="51" customWidth="1"/>
    <col min="34" max="37" width="8.5703125" style="49" customWidth="1"/>
    <col min="38" max="38" width="13.5703125" style="216" bestFit="1" customWidth="1"/>
    <col min="39" max="41" width="8.5703125" style="49" customWidth="1"/>
    <col min="42" max="42" width="13.5703125" style="216" bestFit="1" customWidth="1"/>
    <col min="43" max="43" width="14.42578125" style="46" customWidth="1"/>
    <col min="44" max="256" width="11.42578125" style="46"/>
    <col min="257" max="257" width="4.5703125" style="46" customWidth="1"/>
    <col min="258" max="258" width="7.42578125" style="46" customWidth="1"/>
    <col min="259" max="259" width="60.42578125" style="46" customWidth="1"/>
    <col min="260" max="260" width="9.5703125" style="46" customWidth="1"/>
    <col min="261" max="261" width="8.5703125" style="46" customWidth="1"/>
    <col min="262" max="262" width="13.5703125" style="46" bestFit="1" customWidth="1"/>
    <col min="263" max="263" width="8.5703125" style="46" customWidth="1"/>
    <col min="264" max="264" width="11.42578125" style="46" customWidth="1"/>
    <col min="265" max="265" width="14.42578125" style="46" bestFit="1" customWidth="1"/>
    <col min="266" max="266" width="8.5703125" style="46" customWidth="1"/>
    <col min="267" max="267" width="13.5703125" style="46" bestFit="1" customWidth="1"/>
    <col min="268" max="268" width="8.5703125" style="46" customWidth="1"/>
    <col min="269" max="269" width="14.42578125" style="46" bestFit="1" customWidth="1"/>
    <col min="270" max="270" width="13.140625" style="46" bestFit="1" customWidth="1"/>
    <col min="271" max="271" width="14.42578125" style="46" bestFit="1" customWidth="1"/>
    <col min="272" max="273" width="8.5703125" style="46" customWidth="1"/>
    <col min="274" max="274" width="13.5703125" style="46" bestFit="1" customWidth="1"/>
    <col min="275" max="275" width="8.5703125" style="46" customWidth="1"/>
    <col min="276" max="276" width="13.5703125" style="46" bestFit="1" customWidth="1"/>
    <col min="277" max="279" width="8.5703125" style="46" customWidth="1"/>
    <col min="280" max="280" width="13.5703125" style="46" bestFit="1" customWidth="1"/>
    <col min="281" max="281" width="8.5703125" style="46" customWidth="1"/>
    <col min="282" max="282" width="14.42578125" style="46" bestFit="1" customWidth="1"/>
    <col min="283" max="283" width="13.5703125" style="46" bestFit="1" customWidth="1"/>
    <col min="284" max="285" width="8.5703125" style="46" customWidth="1"/>
    <col min="286" max="286" width="14.42578125" style="46" bestFit="1" customWidth="1"/>
    <col min="287" max="287" width="8.5703125" style="46" customWidth="1"/>
    <col min="288" max="288" width="13.5703125" style="46" bestFit="1" customWidth="1"/>
    <col min="289" max="293" width="8.5703125" style="46" customWidth="1"/>
    <col min="294" max="294" width="13.5703125" style="46" bestFit="1" customWidth="1"/>
    <col min="295" max="297" width="8.5703125" style="46" customWidth="1"/>
    <col min="298" max="298" width="13.5703125" style="46" bestFit="1" customWidth="1"/>
    <col min="299" max="299" width="14.42578125" style="46" customWidth="1"/>
    <col min="300" max="512" width="11.42578125" style="46"/>
    <col min="513" max="513" width="4.5703125" style="46" customWidth="1"/>
    <col min="514" max="514" width="7.42578125" style="46" customWidth="1"/>
    <col min="515" max="515" width="60.42578125" style="46" customWidth="1"/>
    <col min="516" max="516" width="9.5703125" style="46" customWidth="1"/>
    <col min="517" max="517" width="8.5703125" style="46" customWidth="1"/>
    <col min="518" max="518" width="13.5703125" style="46" bestFit="1" customWidth="1"/>
    <col min="519" max="519" width="8.5703125" style="46" customWidth="1"/>
    <col min="520" max="520" width="11.42578125" style="46" customWidth="1"/>
    <col min="521" max="521" width="14.42578125" style="46" bestFit="1" customWidth="1"/>
    <col min="522" max="522" width="8.5703125" style="46" customWidth="1"/>
    <col min="523" max="523" width="13.5703125" style="46" bestFit="1" customWidth="1"/>
    <col min="524" max="524" width="8.5703125" style="46" customWidth="1"/>
    <col min="525" max="525" width="14.42578125" style="46" bestFit="1" customWidth="1"/>
    <col min="526" max="526" width="13.140625" style="46" bestFit="1" customWidth="1"/>
    <col min="527" max="527" width="14.42578125" style="46" bestFit="1" customWidth="1"/>
    <col min="528" max="529" width="8.5703125" style="46" customWidth="1"/>
    <col min="530" max="530" width="13.5703125" style="46" bestFit="1" customWidth="1"/>
    <col min="531" max="531" width="8.5703125" style="46" customWidth="1"/>
    <col min="532" max="532" width="13.5703125" style="46" bestFit="1" customWidth="1"/>
    <col min="533" max="535" width="8.5703125" style="46" customWidth="1"/>
    <col min="536" max="536" width="13.5703125" style="46" bestFit="1" customWidth="1"/>
    <col min="537" max="537" width="8.5703125" style="46" customWidth="1"/>
    <col min="538" max="538" width="14.42578125" style="46" bestFit="1" customWidth="1"/>
    <col min="539" max="539" width="13.5703125" style="46" bestFit="1" customWidth="1"/>
    <col min="540" max="541" width="8.5703125" style="46" customWidth="1"/>
    <col min="542" max="542" width="14.42578125" style="46" bestFit="1" customWidth="1"/>
    <col min="543" max="543" width="8.5703125" style="46" customWidth="1"/>
    <col min="544" max="544" width="13.5703125" style="46" bestFit="1" customWidth="1"/>
    <col min="545" max="549" width="8.5703125" style="46" customWidth="1"/>
    <col min="550" max="550" width="13.5703125" style="46" bestFit="1" customWidth="1"/>
    <col min="551" max="553" width="8.5703125" style="46" customWidth="1"/>
    <col min="554" max="554" width="13.5703125" style="46" bestFit="1" customWidth="1"/>
    <col min="555" max="555" width="14.42578125" style="46" customWidth="1"/>
    <col min="556" max="768" width="11.42578125" style="46"/>
    <col min="769" max="769" width="4.5703125" style="46" customWidth="1"/>
    <col min="770" max="770" width="7.42578125" style="46" customWidth="1"/>
    <col min="771" max="771" width="60.42578125" style="46" customWidth="1"/>
    <col min="772" max="772" width="9.5703125" style="46" customWidth="1"/>
    <col min="773" max="773" width="8.5703125" style="46" customWidth="1"/>
    <col min="774" max="774" width="13.5703125" style="46" bestFit="1" customWidth="1"/>
    <col min="775" max="775" width="8.5703125" style="46" customWidth="1"/>
    <col min="776" max="776" width="11.42578125" style="46" customWidth="1"/>
    <col min="777" max="777" width="14.42578125" style="46" bestFit="1" customWidth="1"/>
    <col min="778" max="778" width="8.5703125" style="46" customWidth="1"/>
    <col min="779" max="779" width="13.5703125" style="46" bestFit="1" customWidth="1"/>
    <col min="780" max="780" width="8.5703125" style="46" customWidth="1"/>
    <col min="781" max="781" width="14.42578125" style="46" bestFit="1" customWidth="1"/>
    <col min="782" max="782" width="13.140625" style="46" bestFit="1" customWidth="1"/>
    <col min="783" max="783" width="14.42578125" style="46" bestFit="1" customWidth="1"/>
    <col min="784" max="785" width="8.5703125" style="46" customWidth="1"/>
    <col min="786" max="786" width="13.5703125" style="46" bestFit="1" customWidth="1"/>
    <col min="787" max="787" width="8.5703125" style="46" customWidth="1"/>
    <col min="788" max="788" width="13.5703125" style="46" bestFit="1" customWidth="1"/>
    <col min="789" max="791" width="8.5703125" style="46" customWidth="1"/>
    <col min="792" max="792" width="13.5703125" style="46" bestFit="1" customWidth="1"/>
    <col min="793" max="793" width="8.5703125" style="46" customWidth="1"/>
    <col min="794" max="794" width="14.42578125" style="46" bestFit="1" customWidth="1"/>
    <col min="795" max="795" width="13.5703125" style="46" bestFit="1" customWidth="1"/>
    <col min="796" max="797" width="8.5703125" style="46" customWidth="1"/>
    <col min="798" max="798" width="14.42578125" style="46" bestFit="1" customWidth="1"/>
    <col min="799" max="799" width="8.5703125" style="46" customWidth="1"/>
    <col min="800" max="800" width="13.5703125" style="46" bestFit="1" customWidth="1"/>
    <col min="801" max="805" width="8.5703125" style="46" customWidth="1"/>
    <col min="806" max="806" width="13.5703125" style="46" bestFit="1" customWidth="1"/>
    <col min="807" max="809" width="8.5703125" style="46" customWidth="1"/>
    <col min="810" max="810" width="13.5703125" style="46" bestFit="1" customWidth="1"/>
    <col min="811" max="811" width="14.42578125" style="46" customWidth="1"/>
    <col min="812" max="1024" width="11.42578125" style="46"/>
    <col min="1025" max="1025" width="4.5703125" style="46" customWidth="1"/>
    <col min="1026" max="1026" width="7.42578125" style="46" customWidth="1"/>
    <col min="1027" max="1027" width="60.42578125" style="46" customWidth="1"/>
    <col min="1028" max="1028" width="9.5703125" style="46" customWidth="1"/>
    <col min="1029" max="1029" width="8.5703125" style="46" customWidth="1"/>
    <col min="1030" max="1030" width="13.5703125" style="46" bestFit="1" customWidth="1"/>
    <col min="1031" max="1031" width="8.5703125" style="46" customWidth="1"/>
    <col min="1032" max="1032" width="11.42578125" style="46" customWidth="1"/>
    <col min="1033" max="1033" width="14.42578125" style="46" bestFit="1" customWidth="1"/>
    <col min="1034" max="1034" width="8.5703125" style="46" customWidth="1"/>
    <col min="1035" max="1035" width="13.5703125" style="46" bestFit="1" customWidth="1"/>
    <col min="1036" max="1036" width="8.5703125" style="46" customWidth="1"/>
    <col min="1037" max="1037" width="14.42578125" style="46" bestFit="1" customWidth="1"/>
    <col min="1038" max="1038" width="13.140625" style="46" bestFit="1" customWidth="1"/>
    <col min="1039" max="1039" width="14.42578125" style="46" bestFit="1" customWidth="1"/>
    <col min="1040" max="1041" width="8.5703125" style="46" customWidth="1"/>
    <col min="1042" max="1042" width="13.5703125" style="46" bestFit="1" customWidth="1"/>
    <col min="1043" max="1043" width="8.5703125" style="46" customWidth="1"/>
    <col min="1044" max="1044" width="13.5703125" style="46" bestFit="1" customWidth="1"/>
    <col min="1045" max="1047" width="8.5703125" style="46" customWidth="1"/>
    <col min="1048" max="1048" width="13.5703125" style="46" bestFit="1" customWidth="1"/>
    <col min="1049" max="1049" width="8.5703125" style="46" customWidth="1"/>
    <col min="1050" max="1050" width="14.42578125" style="46" bestFit="1" customWidth="1"/>
    <col min="1051" max="1051" width="13.5703125" style="46" bestFit="1" customWidth="1"/>
    <col min="1052" max="1053" width="8.5703125" style="46" customWidth="1"/>
    <col min="1054" max="1054" width="14.42578125" style="46" bestFit="1" customWidth="1"/>
    <col min="1055" max="1055" width="8.5703125" style="46" customWidth="1"/>
    <col min="1056" max="1056" width="13.5703125" style="46" bestFit="1" customWidth="1"/>
    <col min="1057" max="1061" width="8.5703125" style="46" customWidth="1"/>
    <col min="1062" max="1062" width="13.5703125" style="46" bestFit="1" customWidth="1"/>
    <col min="1063" max="1065" width="8.5703125" style="46" customWidth="1"/>
    <col min="1066" max="1066" width="13.5703125" style="46" bestFit="1" customWidth="1"/>
    <col min="1067" max="1067" width="14.42578125" style="46" customWidth="1"/>
    <col min="1068" max="1280" width="11.42578125" style="46"/>
    <col min="1281" max="1281" width="4.5703125" style="46" customWidth="1"/>
    <col min="1282" max="1282" width="7.42578125" style="46" customWidth="1"/>
    <col min="1283" max="1283" width="60.42578125" style="46" customWidth="1"/>
    <col min="1284" max="1284" width="9.5703125" style="46" customWidth="1"/>
    <col min="1285" max="1285" width="8.5703125" style="46" customWidth="1"/>
    <col min="1286" max="1286" width="13.5703125" style="46" bestFit="1" customWidth="1"/>
    <col min="1287" max="1287" width="8.5703125" style="46" customWidth="1"/>
    <col min="1288" max="1288" width="11.42578125" style="46" customWidth="1"/>
    <col min="1289" max="1289" width="14.42578125" style="46" bestFit="1" customWidth="1"/>
    <col min="1290" max="1290" width="8.5703125" style="46" customWidth="1"/>
    <col min="1291" max="1291" width="13.5703125" style="46" bestFit="1" customWidth="1"/>
    <col min="1292" max="1292" width="8.5703125" style="46" customWidth="1"/>
    <col min="1293" max="1293" width="14.42578125" style="46" bestFit="1" customWidth="1"/>
    <col min="1294" max="1294" width="13.140625" style="46" bestFit="1" customWidth="1"/>
    <col min="1295" max="1295" width="14.42578125" style="46" bestFit="1" customWidth="1"/>
    <col min="1296" max="1297" width="8.5703125" style="46" customWidth="1"/>
    <col min="1298" max="1298" width="13.5703125" style="46" bestFit="1" customWidth="1"/>
    <col min="1299" max="1299" width="8.5703125" style="46" customWidth="1"/>
    <col min="1300" max="1300" width="13.5703125" style="46" bestFit="1" customWidth="1"/>
    <col min="1301" max="1303" width="8.5703125" style="46" customWidth="1"/>
    <col min="1304" max="1304" width="13.5703125" style="46" bestFit="1" customWidth="1"/>
    <col min="1305" max="1305" width="8.5703125" style="46" customWidth="1"/>
    <col min="1306" max="1306" width="14.42578125" style="46" bestFit="1" customWidth="1"/>
    <col min="1307" max="1307" width="13.5703125" style="46" bestFit="1" customWidth="1"/>
    <col min="1308" max="1309" width="8.5703125" style="46" customWidth="1"/>
    <col min="1310" max="1310" width="14.42578125" style="46" bestFit="1" customWidth="1"/>
    <col min="1311" max="1311" width="8.5703125" style="46" customWidth="1"/>
    <col min="1312" max="1312" width="13.5703125" style="46" bestFit="1" customWidth="1"/>
    <col min="1313" max="1317" width="8.5703125" style="46" customWidth="1"/>
    <col min="1318" max="1318" width="13.5703125" style="46" bestFit="1" customWidth="1"/>
    <col min="1319" max="1321" width="8.5703125" style="46" customWidth="1"/>
    <col min="1322" max="1322" width="13.5703125" style="46" bestFit="1" customWidth="1"/>
    <col min="1323" max="1323" width="14.42578125" style="46" customWidth="1"/>
    <col min="1324" max="1536" width="11.42578125" style="46"/>
    <col min="1537" max="1537" width="4.5703125" style="46" customWidth="1"/>
    <col min="1538" max="1538" width="7.42578125" style="46" customWidth="1"/>
    <col min="1539" max="1539" width="60.42578125" style="46" customWidth="1"/>
    <col min="1540" max="1540" width="9.5703125" style="46" customWidth="1"/>
    <col min="1541" max="1541" width="8.5703125" style="46" customWidth="1"/>
    <col min="1542" max="1542" width="13.5703125" style="46" bestFit="1" customWidth="1"/>
    <col min="1543" max="1543" width="8.5703125" style="46" customWidth="1"/>
    <col min="1544" max="1544" width="11.42578125" style="46" customWidth="1"/>
    <col min="1545" max="1545" width="14.42578125" style="46" bestFit="1" customWidth="1"/>
    <col min="1546" max="1546" width="8.5703125" style="46" customWidth="1"/>
    <col min="1547" max="1547" width="13.5703125" style="46" bestFit="1" customWidth="1"/>
    <col min="1548" max="1548" width="8.5703125" style="46" customWidth="1"/>
    <col min="1549" max="1549" width="14.42578125" style="46" bestFit="1" customWidth="1"/>
    <col min="1550" max="1550" width="13.140625" style="46" bestFit="1" customWidth="1"/>
    <col min="1551" max="1551" width="14.42578125" style="46" bestFit="1" customWidth="1"/>
    <col min="1552" max="1553" width="8.5703125" style="46" customWidth="1"/>
    <col min="1554" max="1554" width="13.5703125" style="46" bestFit="1" customWidth="1"/>
    <col min="1555" max="1555" width="8.5703125" style="46" customWidth="1"/>
    <col min="1556" max="1556" width="13.5703125" style="46" bestFit="1" customWidth="1"/>
    <col min="1557" max="1559" width="8.5703125" style="46" customWidth="1"/>
    <col min="1560" max="1560" width="13.5703125" style="46" bestFit="1" customWidth="1"/>
    <col min="1561" max="1561" width="8.5703125" style="46" customWidth="1"/>
    <col min="1562" max="1562" width="14.42578125" style="46" bestFit="1" customWidth="1"/>
    <col min="1563" max="1563" width="13.5703125" style="46" bestFit="1" customWidth="1"/>
    <col min="1564" max="1565" width="8.5703125" style="46" customWidth="1"/>
    <col min="1566" max="1566" width="14.42578125" style="46" bestFit="1" customWidth="1"/>
    <col min="1567" max="1567" width="8.5703125" style="46" customWidth="1"/>
    <col min="1568" max="1568" width="13.5703125" style="46" bestFit="1" customWidth="1"/>
    <col min="1569" max="1573" width="8.5703125" style="46" customWidth="1"/>
    <col min="1574" max="1574" width="13.5703125" style="46" bestFit="1" customWidth="1"/>
    <col min="1575" max="1577" width="8.5703125" style="46" customWidth="1"/>
    <col min="1578" max="1578" width="13.5703125" style="46" bestFit="1" customWidth="1"/>
    <col min="1579" max="1579" width="14.42578125" style="46" customWidth="1"/>
    <col min="1580" max="1792" width="11.42578125" style="46"/>
    <col min="1793" max="1793" width="4.5703125" style="46" customWidth="1"/>
    <col min="1794" max="1794" width="7.42578125" style="46" customWidth="1"/>
    <col min="1795" max="1795" width="60.42578125" style="46" customWidth="1"/>
    <col min="1796" max="1796" width="9.5703125" style="46" customWidth="1"/>
    <col min="1797" max="1797" width="8.5703125" style="46" customWidth="1"/>
    <col min="1798" max="1798" width="13.5703125" style="46" bestFit="1" customWidth="1"/>
    <col min="1799" max="1799" width="8.5703125" style="46" customWidth="1"/>
    <col min="1800" max="1800" width="11.42578125" style="46" customWidth="1"/>
    <col min="1801" max="1801" width="14.42578125" style="46" bestFit="1" customWidth="1"/>
    <col min="1802" max="1802" width="8.5703125" style="46" customWidth="1"/>
    <col min="1803" max="1803" width="13.5703125" style="46" bestFit="1" customWidth="1"/>
    <col min="1804" max="1804" width="8.5703125" style="46" customWidth="1"/>
    <col min="1805" max="1805" width="14.42578125" style="46" bestFit="1" customWidth="1"/>
    <col min="1806" max="1806" width="13.140625" style="46" bestFit="1" customWidth="1"/>
    <col min="1807" max="1807" width="14.42578125" style="46" bestFit="1" customWidth="1"/>
    <col min="1808" max="1809" width="8.5703125" style="46" customWidth="1"/>
    <col min="1810" max="1810" width="13.5703125" style="46" bestFit="1" customWidth="1"/>
    <col min="1811" max="1811" width="8.5703125" style="46" customWidth="1"/>
    <col min="1812" max="1812" width="13.5703125" style="46" bestFit="1" customWidth="1"/>
    <col min="1813" max="1815" width="8.5703125" style="46" customWidth="1"/>
    <col min="1816" max="1816" width="13.5703125" style="46" bestFit="1" customWidth="1"/>
    <col min="1817" max="1817" width="8.5703125" style="46" customWidth="1"/>
    <col min="1818" max="1818" width="14.42578125" style="46" bestFit="1" customWidth="1"/>
    <col min="1819" max="1819" width="13.5703125" style="46" bestFit="1" customWidth="1"/>
    <col min="1820" max="1821" width="8.5703125" style="46" customWidth="1"/>
    <col min="1822" max="1822" width="14.42578125" style="46" bestFit="1" customWidth="1"/>
    <col min="1823" max="1823" width="8.5703125" style="46" customWidth="1"/>
    <col min="1824" max="1824" width="13.5703125" style="46" bestFit="1" customWidth="1"/>
    <col min="1825" max="1829" width="8.5703125" style="46" customWidth="1"/>
    <col min="1830" max="1830" width="13.5703125" style="46" bestFit="1" customWidth="1"/>
    <col min="1831" max="1833" width="8.5703125" style="46" customWidth="1"/>
    <col min="1834" max="1834" width="13.5703125" style="46" bestFit="1" customWidth="1"/>
    <col min="1835" max="1835" width="14.42578125" style="46" customWidth="1"/>
    <col min="1836" max="2048" width="11.42578125" style="46"/>
    <col min="2049" max="2049" width="4.5703125" style="46" customWidth="1"/>
    <col min="2050" max="2050" width="7.42578125" style="46" customWidth="1"/>
    <col min="2051" max="2051" width="60.42578125" style="46" customWidth="1"/>
    <col min="2052" max="2052" width="9.5703125" style="46" customWidth="1"/>
    <col min="2053" max="2053" width="8.5703125" style="46" customWidth="1"/>
    <col min="2054" max="2054" width="13.5703125" style="46" bestFit="1" customWidth="1"/>
    <col min="2055" max="2055" width="8.5703125" style="46" customWidth="1"/>
    <col min="2056" max="2056" width="11.42578125" style="46" customWidth="1"/>
    <col min="2057" max="2057" width="14.42578125" style="46" bestFit="1" customWidth="1"/>
    <col min="2058" max="2058" width="8.5703125" style="46" customWidth="1"/>
    <col min="2059" max="2059" width="13.5703125" style="46" bestFit="1" customWidth="1"/>
    <col min="2060" max="2060" width="8.5703125" style="46" customWidth="1"/>
    <col min="2061" max="2061" width="14.42578125" style="46" bestFit="1" customWidth="1"/>
    <col min="2062" max="2062" width="13.140625" style="46" bestFit="1" customWidth="1"/>
    <col min="2063" max="2063" width="14.42578125" style="46" bestFit="1" customWidth="1"/>
    <col min="2064" max="2065" width="8.5703125" style="46" customWidth="1"/>
    <col min="2066" max="2066" width="13.5703125" style="46" bestFit="1" customWidth="1"/>
    <col min="2067" max="2067" width="8.5703125" style="46" customWidth="1"/>
    <col min="2068" max="2068" width="13.5703125" style="46" bestFit="1" customWidth="1"/>
    <col min="2069" max="2071" width="8.5703125" style="46" customWidth="1"/>
    <col min="2072" max="2072" width="13.5703125" style="46" bestFit="1" customWidth="1"/>
    <col min="2073" max="2073" width="8.5703125" style="46" customWidth="1"/>
    <col min="2074" max="2074" width="14.42578125" style="46" bestFit="1" customWidth="1"/>
    <col min="2075" max="2075" width="13.5703125" style="46" bestFit="1" customWidth="1"/>
    <col min="2076" max="2077" width="8.5703125" style="46" customWidth="1"/>
    <col min="2078" max="2078" width="14.42578125" style="46" bestFit="1" customWidth="1"/>
    <col min="2079" max="2079" width="8.5703125" style="46" customWidth="1"/>
    <col min="2080" max="2080" width="13.5703125" style="46" bestFit="1" customWidth="1"/>
    <col min="2081" max="2085" width="8.5703125" style="46" customWidth="1"/>
    <col min="2086" max="2086" width="13.5703125" style="46" bestFit="1" customWidth="1"/>
    <col min="2087" max="2089" width="8.5703125" style="46" customWidth="1"/>
    <col min="2090" max="2090" width="13.5703125" style="46" bestFit="1" customWidth="1"/>
    <col min="2091" max="2091" width="14.42578125" style="46" customWidth="1"/>
    <col min="2092" max="2304" width="11.42578125" style="46"/>
    <col min="2305" max="2305" width="4.5703125" style="46" customWidth="1"/>
    <col min="2306" max="2306" width="7.42578125" style="46" customWidth="1"/>
    <col min="2307" max="2307" width="60.42578125" style="46" customWidth="1"/>
    <col min="2308" max="2308" width="9.5703125" style="46" customWidth="1"/>
    <col min="2309" max="2309" width="8.5703125" style="46" customWidth="1"/>
    <col min="2310" max="2310" width="13.5703125" style="46" bestFit="1" customWidth="1"/>
    <col min="2311" max="2311" width="8.5703125" style="46" customWidth="1"/>
    <col min="2312" max="2312" width="11.42578125" style="46" customWidth="1"/>
    <col min="2313" max="2313" width="14.42578125" style="46" bestFit="1" customWidth="1"/>
    <col min="2314" max="2314" width="8.5703125" style="46" customWidth="1"/>
    <col min="2315" max="2315" width="13.5703125" style="46" bestFit="1" customWidth="1"/>
    <col min="2316" max="2316" width="8.5703125" style="46" customWidth="1"/>
    <col min="2317" max="2317" width="14.42578125" style="46" bestFit="1" customWidth="1"/>
    <col min="2318" max="2318" width="13.140625" style="46" bestFit="1" customWidth="1"/>
    <col min="2319" max="2319" width="14.42578125" style="46" bestFit="1" customWidth="1"/>
    <col min="2320" max="2321" width="8.5703125" style="46" customWidth="1"/>
    <col min="2322" max="2322" width="13.5703125" style="46" bestFit="1" customWidth="1"/>
    <col min="2323" max="2323" width="8.5703125" style="46" customWidth="1"/>
    <col min="2324" max="2324" width="13.5703125" style="46" bestFit="1" customWidth="1"/>
    <col min="2325" max="2327" width="8.5703125" style="46" customWidth="1"/>
    <col min="2328" max="2328" width="13.5703125" style="46" bestFit="1" customWidth="1"/>
    <col min="2329" max="2329" width="8.5703125" style="46" customWidth="1"/>
    <col min="2330" max="2330" width="14.42578125" style="46" bestFit="1" customWidth="1"/>
    <col min="2331" max="2331" width="13.5703125" style="46" bestFit="1" customWidth="1"/>
    <col min="2332" max="2333" width="8.5703125" style="46" customWidth="1"/>
    <col min="2334" max="2334" width="14.42578125" style="46" bestFit="1" customWidth="1"/>
    <col min="2335" max="2335" width="8.5703125" style="46" customWidth="1"/>
    <col min="2336" max="2336" width="13.5703125" style="46" bestFit="1" customWidth="1"/>
    <col min="2337" max="2341" width="8.5703125" style="46" customWidth="1"/>
    <col min="2342" max="2342" width="13.5703125" style="46" bestFit="1" customWidth="1"/>
    <col min="2343" max="2345" width="8.5703125" style="46" customWidth="1"/>
    <col min="2346" max="2346" width="13.5703125" style="46" bestFit="1" customWidth="1"/>
    <col min="2347" max="2347" width="14.42578125" style="46" customWidth="1"/>
    <col min="2348" max="2560" width="11.42578125" style="46"/>
    <col min="2561" max="2561" width="4.5703125" style="46" customWidth="1"/>
    <col min="2562" max="2562" width="7.42578125" style="46" customWidth="1"/>
    <col min="2563" max="2563" width="60.42578125" style="46" customWidth="1"/>
    <col min="2564" max="2564" width="9.5703125" style="46" customWidth="1"/>
    <col min="2565" max="2565" width="8.5703125" style="46" customWidth="1"/>
    <col min="2566" max="2566" width="13.5703125" style="46" bestFit="1" customWidth="1"/>
    <col min="2567" max="2567" width="8.5703125" style="46" customWidth="1"/>
    <col min="2568" max="2568" width="11.42578125" style="46" customWidth="1"/>
    <col min="2569" max="2569" width="14.42578125" style="46" bestFit="1" customWidth="1"/>
    <col min="2570" max="2570" width="8.5703125" style="46" customWidth="1"/>
    <col min="2571" max="2571" width="13.5703125" style="46" bestFit="1" customWidth="1"/>
    <col min="2572" max="2572" width="8.5703125" style="46" customWidth="1"/>
    <col min="2573" max="2573" width="14.42578125" style="46" bestFit="1" customWidth="1"/>
    <col min="2574" max="2574" width="13.140625" style="46" bestFit="1" customWidth="1"/>
    <col min="2575" max="2575" width="14.42578125" style="46" bestFit="1" customWidth="1"/>
    <col min="2576" max="2577" width="8.5703125" style="46" customWidth="1"/>
    <col min="2578" max="2578" width="13.5703125" style="46" bestFit="1" customWidth="1"/>
    <col min="2579" max="2579" width="8.5703125" style="46" customWidth="1"/>
    <col min="2580" max="2580" width="13.5703125" style="46" bestFit="1" customWidth="1"/>
    <col min="2581" max="2583" width="8.5703125" style="46" customWidth="1"/>
    <col min="2584" max="2584" width="13.5703125" style="46" bestFit="1" customWidth="1"/>
    <col min="2585" max="2585" width="8.5703125" style="46" customWidth="1"/>
    <col min="2586" max="2586" width="14.42578125" style="46" bestFit="1" customWidth="1"/>
    <col min="2587" max="2587" width="13.5703125" style="46" bestFit="1" customWidth="1"/>
    <col min="2588" max="2589" width="8.5703125" style="46" customWidth="1"/>
    <col min="2590" max="2590" width="14.42578125" style="46" bestFit="1" customWidth="1"/>
    <col min="2591" max="2591" width="8.5703125" style="46" customWidth="1"/>
    <col min="2592" max="2592" width="13.5703125" style="46" bestFit="1" customWidth="1"/>
    <col min="2593" max="2597" width="8.5703125" style="46" customWidth="1"/>
    <col min="2598" max="2598" width="13.5703125" style="46" bestFit="1" customWidth="1"/>
    <col min="2599" max="2601" width="8.5703125" style="46" customWidth="1"/>
    <col min="2602" max="2602" width="13.5703125" style="46" bestFit="1" customWidth="1"/>
    <col min="2603" max="2603" width="14.42578125" style="46" customWidth="1"/>
    <col min="2604" max="2816" width="11.42578125" style="46"/>
    <col min="2817" max="2817" width="4.5703125" style="46" customWidth="1"/>
    <col min="2818" max="2818" width="7.42578125" style="46" customWidth="1"/>
    <col min="2819" max="2819" width="60.42578125" style="46" customWidth="1"/>
    <col min="2820" max="2820" width="9.5703125" style="46" customWidth="1"/>
    <col min="2821" max="2821" width="8.5703125" style="46" customWidth="1"/>
    <col min="2822" max="2822" width="13.5703125" style="46" bestFit="1" customWidth="1"/>
    <col min="2823" max="2823" width="8.5703125" style="46" customWidth="1"/>
    <col min="2824" max="2824" width="11.42578125" style="46" customWidth="1"/>
    <col min="2825" max="2825" width="14.42578125" style="46" bestFit="1" customWidth="1"/>
    <col min="2826" max="2826" width="8.5703125" style="46" customWidth="1"/>
    <col min="2827" max="2827" width="13.5703125" style="46" bestFit="1" customWidth="1"/>
    <col min="2828" max="2828" width="8.5703125" style="46" customWidth="1"/>
    <col min="2829" max="2829" width="14.42578125" style="46" bestFit="1" customWidth="1"/>
    <col min="2830" max="2830" width="13.140625" style="46" bestFit="1" customWidth="1"/>
    <col min="2831" max="2831" width="14.42578125" style="46" bestFit="1" customWidth="1"/>
    <col min="2832" max="2833" width="8.5703125" style="46" customWidth="1"/>
    <col min="2834" max="2834" width="13.5703125" style="46" bestFit="1" customWidth="1"/>
    <col min="2835" max="2835" width="8.5703125" style="46" customWidth="1"/>
    <col min="2836" max="2836" width="13.5703125" style="46" bestFit="1" customWidth="1"/>
    <col min="2837" max="2839" width="8.5703125" style="46" customWidth="1"/>
    <col min="2840" max="2840" width="13.5703125" style="46" bestFit="1" customWidth="1"/>
    <col min="2841" max="2841" width="8.5703125" style="46" customWidth="1"/>
    <col min="2842" max="2842" width="14.42578125" style="46" bestFit="1" customWidth="1"/>
    <col min="2843" max="2843" width="13.5703125" style="46" bestFit="1" customWidth="1"/>
    <col min="2844" max="2845" width="8.5703125" style="46" customWidth="1"/>
    <col min="2846" max="2846" width="14.42578125" style="46" bestFit="1" customWidth="1"/>
    <col min="2847" max="2847" width="8.5703125" style="46" customWidth="1"/>
    <col min="2848" max="2848" width="13.5703125" style="46" bestFit="1" customWidth="1"/>
    <col min="2849" max="2853" width="8.5703125" style="46" customWidth="1"/>
    <col min="2854" max="2854" width="13.5703125" style="46" bestFit="1" customWidth="1"/>
    <col min="2855" max="2857" width="8.5703125" style="46" customWidth="1"/>
    <col min="2858" max="2858" width="13.5703125" style="46" bestFit="1" customWidth="1"/>
    <col min="2859" max="2859" width="14.42578125" style="46" customWidth="1"/>
    <col min="2860" max="3072" width="11.42578125" style="46"/>
    <col min="3073" max="3073" width="4.5703125" style="46" customWidth="1"/>
    <col min="3074" max="3074" width="7.42578125" style="46" customWidth="1"/>
    <col min="3075" max="3075" width="60.42578125" style="46" customWidth="1"/>
    <col min="3076" max="3076" width="9.5703125" style="46" customWidth="1"/>
    <col min="3077" max="3077" width="8.5703125" style="46" customWidth="1"/>
    <col min="3078" max="3078" width="13.5703125" style="46" bestFit="1" customWidth="1"/>
    <col min="3079" max="3079" width="8.5703125" style="46" customWidth="1"/>
    <col min="3080" max="3080" width="11.42578125" style="46" customWidth="1"/>
    <col min="3081" max="3081" width="14.42578125" style="46" bestFit="1" customWidth="1"/>
    <col min="3082" max="3082" width="8.5703125" style="46" customWidth="1"/>
    <col min="3083" max="3083" width="13.5703125" style="46" bestFit="1" customWidth="1"/>
    <col min="3084" max="3084" width="8.5703125" style="46" customWidth="1"/>
    <col min="3085" max="3085" width="14.42578125" style="46" bestFit="1" customWidth="1"/>
    <col min="3086" max="3086" width="13.140625" style="46" bestFit="1" customWidth="1"/>
    <col min="3087" max="3087" width="14.42578125" style="46" bestFit="1" customWidth="1"/>
    <col min="3088" max="3089" width="8.5703125" style="46" customWidth="1"/>
    <col min="3090" max="3090" width="13.5703125" style="46" bestFit="1" customWidth="1"/>
    <col min="3091" max="3091" width="8.5703125" style="46" customWidth="1"/>
    <col min="3092" max="3092" width="13.5703125" style="46" bestFit="1" customWidth="1"/>
    <col min="3093" max="3095" width="8.5703125" style="46" customWidth="1"/>
    <col min="3096" max="3096" width="13.5703125" style="46" bestFit="1" customWidth="1"/>
    <col min="3097" max="3097" width="8.5703125" style="46" customWidth="1"/>
    <col min="3098" max="3098" width="14.42578125" style="46" bestFit="1" customWidth="1"/>
    <col min="3099" max="3099" width="13.5703125" style="46" bestFit="1" customWidth="1"/>
    <col min="3100" max="3101" width="8.5703125" style="46" customWidth="1"/>
    <col min="3102" max="3102" width="14.42578125" style="46" bestFit="1" customWidth="1"/>
    <col min="3103" max="3103" width="8.5703125" style="46" customWidth="1"/>
    <col min="3104" max="3104" width="13.5703125" style="46" bestFit="1" customWidth="1"/>
    <col min="3105" max="3109" width="8.5703125" style="46" customWidth="1"/>
    <col min="3110" max="3110" width="13.5703125" style="46" bestFit="1" customWidth="1"/>
    <col min="3111" max="3113" width="8.5703125" style="46" customWidth="1"/>
    <col min="3114" max="3114" width="13.5703125" style="46" bestFit="1" customWidth="1"/>
    <col min="3115" max="3115" width="14.42578125" style="46" customWidth="1"/>
    <col min="3116" max="3328" width="11.42578125" style="46"/>
    <col min="3329" max="3329" width="4.5703125" style="46" customWidth="1"/>
    <col min="3330" max="3330" width="7.42578125" style="46" customWidth="1"/>
    <col min="3331" max="3331" width="60.42578125" style="46" customWidth="1"/>
    <col min="3332" max="3332" width="9.5703125" style="46" customWidth="1"/>
    <col min="3333" max="3333" width="8.5703125" style="46" customWidth="1"/>
    <col min="3334" max="3334" width="13.5703125" style="46" bestFit="1" customWidth="1"/>
    <col min="3335" max="3335" width="8.5703125" style="46" customWidth="1"/>
    <col min="3336" max="3336" width="11.42578125" style="46" customWidth="1"/>
    <col min="3337" max="3337" width="14.42578125" style="46" bestFit="1" customWidth="1"/>
    <col min="3338" max="3338" width="8.5703125" style="46" customWidth="1"/>
    <col min="3339" max="3339" width="13.5703125" style="46" bestFit="1" customWidth="1"/>
    <col min="3340" max="3340" width="8.5703125" style="46" customWidth="1"/>
    <col min="3341" max="3341" width="14.42578125" style="46" bestFit="1" customWidth="1"/>
    <col min="3342" max="3342" width="13.140625" style="46" bestFit="1" customWidth="1"/>
    <col min="3343" max="3343" width="14.42578125" style="46" bestFit="1" customWidth="1"/>
    <col min="3344" max="3345" width="8.5703125" style="46" customWidth="1"/>
    <col min="3346" max="3346" width="13.5703125" style="46" bestFit="1" customWidth="1"/>
    <col min="3347" max="3347" width="8.5703125" style="46" customWidth="1"/>
    <col min="3348" max="3348" width="13.5703125" style="46" bestFit="1" customWidth="1"/>
    <col min="3349" max="3351" width="8.5703125" style="46" customWidth="1"/>
    <col min="3352" max="3352" width="13.5703125" style="46" bestFit="1" customWidth="1"/>
    <col min="3353" max="3353" width="8.5703125" style="46" customWidth="1"/>
    <col min="3354" max="3354" width="14.42578125" style="46" bestFit="1" customWidth="1"/>
    <col min="3355" max="3355" width="13.5703125" style="46" bestFit="1" customWidth="1"/>
    <col min="3356" max="3357" width="8.5703125" style="46" customWidth="1"/>
    <col min="3358" max="3358" width="14.42578125" style="46" bestFit="1" customWidth="1"/>
    <col min="3359" max="3359" width="8.5703125" style="46" customWidth="1"/>
    <col min="3360" max="3360" width="13.5703125" style="46" bestFit="1" customWidth="1"/>
    <col min="3361" max="3365" width="8.5703125" style="46" customWidth="1"/>
    <col min="3366" max="3366" width="13.5703125" style="46" bestFit="1" customWidth="1"/>
    <col min="3367" max="3369" width="8.5703125" style="46" customWidth="1"/>
    <col min="3370" max="3370" width="13.5703125" style="46" bestFit="1" customWidth="1"/>
    <col min="3371" max="3371" width="14.42578125" style="46" customWidth="1"/>
    <col min="3372" max="3584" width="11.42578125" style="46"/>
    <col min="3585" max="3585" width="4.5703125" style="46" customWidth="1"/>
    <col min="3586" max="3586" width="7.42578125" style="46" customWidth="1"/>
    <col min="3587" max="3587" width="60.42578125" style="46" customWidth="1"/>
    <col min="3588" max="3588" width="9.5703125" style="46" customWidth="1"/>
    <col min="3589" max="3589" width="8.5703125" style="46" customWidth="1"/>
    <col min="3590" max="3590" width="13.5703125" style="46" bestFit="1" customWidth="1"/>
    <col min="3591" max="3591" width="8.5703125" style="46" customWidth="1"/>
    <col min="3592" max="3592" width="11.42578125" style="46" customWidth="1"/>
    <col min="3593" max="3593" width="14.42578125" style="46" bestFit="1" customWidth="1"/>
    <col min="3594" max="3594" width="8.5703125" style="46" customWidth="1"/>
    <col min="3595" max="3595" width="13.5703125" style="46" bestFit="1" customWidth="1"/>
    <col min="3596" max="3596" width="8.5703125" style="46" customWidth="1"/>
    <col min="3597" max="3597" width="14.42578125" style="46" bestFit="1" customWidth="1"/>
    <col min="3598" max="3598" width="13.140625" style="46" bestFit="1" customWidth="1"/>
    <col min="3599" max="3599" width="14.42578125" style="46" bestFit="1" customWidth="1"/>
    <col min="3600" max="3601" width="8.5703125" style="46" customWidth="1"/>
    <col min="3602" max="3602" width="13.5703125" style="46" bestFit="1" customWidth="1"/>
    <col min="3603" max="3603" width="8.5703125" style="46" customWidth="1"/>
    <col min="3604" max="3604" width="13.5703125" style="46" bestFit="1" customWidth="1"/>
    <col min="3605" max="3607" width="8.5703125" style="46" customWidth="1"/>
    <col min="3608" max="3608" width="13.5703125" style="46" bestFit="1" customWidth="1"/>
    <col min="3609" max="3609" width="8.5703125" style="46" customWidth="1"/>
    <col min="3610" max="3610" width="14.42578125" style="46" bestFit="1" customWidth="1"/>
    <col min="3611" max="3611" width="13.5703125" style="46" bestFit="1" customWidth="1"/>
    <col min="3612" max="3613" width="8.5703125" style="46" customWidth="1"/>
    <col min="3614" max="3614" width="14.42578125" style="46" bestFit="1" customWidth="1"/>
    <col min="3615" max="3615" width="8.5703125" style="46" customWidth="1"/>
    <col min="3616" max="3616" width="13.5703125" style="46" bestFit="1" customWidth="1"/>
    <col min="3617" max="3621" width="8.5703125" style="46" customWidth="1"/>
    <col min="3622" max="3622" width="13.5703125" style="46" bestFit="1" customWidth="1"/>
    <col min="3623" max="3625" width="8.5703125" style="46" customWidth="1"/>
    <col min="3626" max="3626" width="13.5703125" style="46" bestFit="1" customWidth="1"/>
    <col min="3627" max="3627" width="14.42578125" style="46" customWidth="1"/>
    <col min="3628" max="3840" width="11.42578125" style="46"/>
    <col min="3841" max="3841" width="4.5703125" style="46" customWidth="1"/>
    <col min="3842" max="3842" width="7.42578125" style="46" customWidth="1"/>
    <col min="3843" max="3843" width="60.42578125" style="46" customWidth="1"/>
    <col min="3844" max="3844" width="9.5703125" style="46" customWidth="1"/>
    <col min="3845" max="3845" width="8.5703125" style="46" customWidth="1"/>
    <col min="3846" max="3846" width="13.5703125" style="46" bestFit="1" customWidth="1"/>
    <col min="3847" max="3847" width="8.5703125" style="46" customWidth="1"/>
    <col min="3848" max="3848" width="11.42578125" style="46" customWidth="1"/>
    <col min="3849" max="3849" width="14.42578125" style="46" bestFit="1" customWidth="1"/>
    <col min="3850" max="3850" width="8.5703125" style="46" customWidth="1"/>
    <col min="3851" max="3851" width="13.5703125" style="46" bestFit="1" customWidth="1"/>
    <col min="3852" max="3852" width="8.5703125" style="46" customWidth="1"/>
    <col min="3853" max="3853" width="14.42578125" style="46" bestFit="1" customWidth="1"/>
    <col min="3854" max="3854" width="13.140625" style="46" bestFit="1" customWidth="1"/>
    <col min="3855" max="3855" width="14.42578125" style="46" bestFit="1" customWidth="1"/>
    <col min="3856" max="3857" width="8.5703125" style="46" customWidth="1"/>
    <col min="3858" max="3858" width="13.5703125" style="46" bestFit="1" customWidth="1"/>
    <col min="3859" max="3859" width="8.5703125" style="46" customWidth="1"/>
    <col min="3860" max="3860" width="13.5703125" style="46" bestFit="1" customWidth="1"/>
    <col min="3861" max="3863" width="8.5703125" style="46" customWidth="1"/>
    <col min="3864" max="3864" width="13.5703125" style="46" bestFit="1" customWidth="1"/>
    <col min="3865" max="3865" width="8.5703125" style="46" customWidth="1"/>
    <col min="3866" max="3866" width="14.42578125" style="46" bestFit="1" customWidth="1"/>
    <col min="3867" max="3867" width="13.5703125" style="46" bestFit="1" customWidth="1"/>
    <col min="3868" max="3869" width="8.5703125" style="46" customWidth="1"/>
    <col min="3870" max="3870" width="14.42578125" style="46" bestFit="1" customWidth="1"/>
    <col min="3871" max="3871" width="8.5703125" style="46" customWidth="1"/>
    <col min="3872" max="3872" width="13.5703125" style="46" bestFit="1" customWidth="1"/>
    <col min="3873" max="3877" width="8.5703125" style="46" customWidth="1"/>
    <col min="3878" max="3878" width="13.5703125" style="46" bestFit="1" customWidth="1"/>
    <col min="3879" max="3881" width="8.5703125" style="46" customWidth="1"/>
    <col min="3882" max="3882" width="13.5703125" style="46" bestFit="1" customWidth="1"/>
    <col min="3883" max="3883" width="14.42578125" style="46" customWidth="1"/>
    <col min="3884" max="4096" width="11.42578125" style="46"/>
    <col min="4097" max="4097" width="4.5703125" style="46" customWidth="1"/>
    <col min="4098" max="4098" width="7.42578125" style="46" customWidth="1"/>
    <col min="4099" max="4099" width="60.42578125" style="46" customWidth="1"/>
    <col min="4100" max="4100" width="9.5703125" style="46" customWidth="1"/>
    <col min="4101" max="4101" width="8.5703125" style="46" customWidth="1"/>
    <col min="4102" max="4102" width="13.5703125" style="46" bestFit="1" customWidth="1"/>
    <col min="4103" max="4103" width="8.5703125" style="46" customWidth="1"/>
    <col min="4104" max="4104" width="11.42578125" style="46" customWidth="1"/>
    <col min="4105" max="4105" width="14.42578125" style="46" bestFit="1" customWidth="1"/>
    <col min="4106" max="4106" width="8.5703125" style="46" customWidth="1"/>
    <col min="4107" max="4107" width="13.5703125" style="46" bestFit="1" customWidth="1"/>
    <col min="4108" max="4108" width="8.5703125" style="46" customWidth="1"/>
    <col min="4109" max="4109" width="14.42578125" style="46" bestFit="1" customWidth="1"/>
    <col min="4110" max="4110" width="13.140625" style="46" bestFit="1" customWidth="1"/>
    <col min="4111" max="4111" width="14.42578125" style="46" bestFit="1" customWidth="1"/>
    <col min="4112" max="4113" width="8.5703125" style="46" customWidth="1"/>
    <col min="4114" max="4114" width="13.5703125" style="46" bestFit="1" customWidth="1"/>
    <col min="4115" max="4115" width="8.5703125" style="46" customWidth="1"/>
    <col min="4116" max="4116" width="13.5703125" style="46" bestFit="1" customWidth="1"/>
    <col min="4117" max="4119" width="8.5703125" style="46" customWidth="1"/>
    <col min="4120" max="4120" width="13.5703125" style="46" bestFit="1" customWidth="1"/>
    <col min="4121" max="4121" width="8.5703125" style="46" customWidth="1"/>
    <col min="4122" max="4122" width="14.42578125" style="46" bestFit="1" customWidth="1"/>
    <col min="4123" max="4123" width="13.5703125" style="46" bestFit="1" customWidth="1"/>
    <col min="4124" max="4125" width="8.5703125" style="46" customWidth="1"/>
    <col min="4126" max="4126" width="14.42578125" style="46" bestFit="1" customWidth="1"/>
    <col min="4127" max="4127" width="8.5703125" style="46" customWidth="1"/>
    <col min="4128" max="4128" width="13.5703125" style="46" bestFit="1" customWidth="1"/>
    <col min="4129" max="4133" width="8.5703125" style="46" customWidth="1"/>
    <col min="4134" max="4134" width="13.5703125" style="46" bestFit="1" customWidth="1"/>
    <col min="4135" max="4137" width="8.5703125" style="46" customWidth="1"/>
    <col min="4138" max="4138" width="13.5703125" style="46" bestFit="1" customWidth="1"/>
    <col min="4139" max="4139" width="14.42578125" style="46" customWidth="1"/>
    <col min="4140" max="4352" width="11.42578125" style="46"/>
    <col min="4353" max="4353" width="4.5703125" style="46" customWidth="1"/>
    <col min="4354" max="4354" width="7.42578125" style="46" customWidth="1"/>
    <col min="4355" max="4355" width="60.42578125" style="46" customWidth="1"/>
    <col min="4356" max="4356" width="9.5703125" style="46" customWidth="1"/>
    <col min="4357" max="4357" width="8.5703125" style="46" customWidth="1"/>
    <col min="4358" max="4358" width="13.5703125" style="46" bestFit="1" customWidth="1"/>
    <col min="4359" max="4359" width="8.5703125" style="46" customWidth="1"/>
    <col min="4360" max="4360" width="11.42578125" style="46" customWidth="1"/>
    <col min="4361" max="4361" width="14.42578125" style="46" bestFit="1" customWidth="1"/>
    <col min="4362" max="4362" width="8.5703125" style="46" customWidth="1"/>
    <col min="4363" max="4363" width="13.5703125" style="46" bestFit="1" customWidth="1"/>
    <col min="4364" max="4364" width="8.5703125" style="46" customWidth="1"/>
    <col min="4365" max="4365" width="14.42578125" style="46" bestFit="1" customWidth="1"/>
    <col min="4366" max="4366" width="13.140625" style="46" bestFit="1" customWidth="1"/>
    <col min="4367" max="4367" width="14.42578125" style="46" bestFit="1" customWidth="1"/>
    <col min="4368" max="4369" width="8.5703125" style="46" customWidth="1"/>
    <col min="4370" max="4370" width="13.5703125" style="46" bestFit="1" customWidth="1"/>
    <col min="4371" max="4371" width="8.5703125" style="46" customWidth="1"/>
    <col min="4372" max="4372" width="13.5703125" style="46" bestFit="1" customWidth="1"/>
    <col min="4373" max="4375" width="8.5703125" style="46" customWidth="1"/>
    <col min="4376" max="4376" width="13.5703125" style="46" bestFit="1" customWidth="1"/>
    <col min="4377" max="4377" width="8.5703125" style="46" customWidth="1"/>
    <col min="4378" max="4378" width="14.42578125" style="46" bestFit="1" customWidth="1"/>
    <col min="4379" max="4379" width="13.5703125" style="46" bestFit="1" customWidth="1"/>
    <col min="4380" max="4381" width="8.5703125" style="46" customWidth="1"/>
    <col min="4382" max="4382" width="14.42578125" style="46" bestFit="1" customWidth="1"/>
    <col min="4383" max="4383" width="8.5703125" style="46" customWidth="1"/>
    <col min="4384" max="4384" width="13.5703125" style="46" bestFit="1" customWidth="1"/>
    <col min="4385" max="4389" width="8.5703125" style="46" customWidth="1"/>
    <col min="4390" max="4390" width="13.5703125" style="46" bestFit="1" customWidth="1"/>
    <col min="4391" max="4393" width="8.5703125" style="46" customWidth="1"/>
    <col min="4394" max="4394" width="13.5703125" style="46" bestFit="1" customWidth="1"/>
    <col min="4395" max="4395" width="14.42578125" style="46" customWidth="1"/>
    <col min="4396" max="4608" width="11.42578125" style="46"/>
    <col min="4609" max="4609" width="4.5703125" style="46" customWidth="1"/>
    <col min="4610" max="4610" width="7.42578125" style="46" customWidth="1"/>
    <col min="4611" max="4611" width="60.42578125" style="46" customWidth="1"/>
    <col min="4612" max="4612" width="9.5703125" style="46" customWidth="1"/>
    <col min="4613" max="4613" width="8.5703125" style="46" customWidth="1"/>
    <col min="4614" max="4614" width="13.5703125" style="46" bestFit="1" customWidth="1"/>
    <col min="4615" max="4615" width="8.5703125" style="46" customWidth="1"/>
    <col min="4616" max="4616" width="11.42578125" style="46" customWidth="1"/>
    <col min="4617" max="4617" width="14.42578125" style="46" bestFit="1" customWidth="1"/>
    <col min="4618" max="4618" width="8.5703125" style="46" customWidth="1"/>
    <col min="4619" max="4619" width="13.5703125" style="46" bestFit="1" customWidth="1"/>
    <col min="4620" max="4620" width="8.5703125" style="46" customWidth="1"/>
    <col min="4621" max="4621" width="14.42578125" style="46" bestFit="1" customWidth="1"/>
    <col min="4622" max="4622" width="13.140625" style="46" bestFit="1" customWidth="1"/>
    <col min="4623" max="4623" width="14.42578125" style="46" bestFit="1" customWidth="1"/>
    <col min="4624" max="4625" width="8.5703125" style="46" customWidth="1"/>
    <col min="4626" max="4626" width="13.5703125" style="46" bestFit="1" customWidth="1"/>
    <col min="4627" max="4627" width="8.5703125" style="46" customWidth="1"/>
    <col min="4628" max="4628" width="13.5703125" style="46" bestFit="1" customWidth="1"/>
    <col min="4629" max="4631" width="8.5703125" style="46" customWidth="1"/>
    <col min="4632" max="4632" width="13.5703125" style="46" bestFit="1" customWidth="1"/>
    <col min="4633" max="4633" width="8.5703125" style="46" customWidth="1"/>
    <col min="4634" max="4634" width="14.42578125" style="46" bestFit="1" customWidth="1"/>
    <col min="4635" max="4635" width="13.5703125" style="46" bestFit="1" customWidth="1"/>
    <col min="4636" max="4637" width="8.5703125" style="46" customWidth="1"/>
    <col min="4638" max="4638" width="14.42578125" style="46" bestFit="1" customWidth="1"/>
    <col min="4639" max="4639" width="8.5703125" style="46" customWidth="1"/>
    <col min="4640" max="4640" width="13.5703125" style="46" bestFit="1" customWidth="1"/>
    <col min="4641" max="4645" width="8.5703125" style="46" customWidth="1"/>
    <col min="4646" max="4646" width="13.5703125" style="46" bestFit="1" customWidth="1"/>
    <col min="4647" max="4649" width="8.5703125" style="46" customWidth="1"/>
    <col min="4650" max="4650" width="13.5703125" style="46" bestFit="1" customWidth="1"/>
    <col min="4651" max="4651" width="14.42578125" style="46" customWidth="1"/>
    <col min="4652" max="4864" width="11.42578125" style="46"/>
    <col min="4865" max="4865" width="4.5703125" style="46" customWidth="1"/>
    <col min="4866" max="4866" width="7.42578125" style="46" customWidth="1"/>
    <col min="4867" max="4867" width="60.42578125" style="46" customWidth="1"/>
    <col min="4868" max="4868" width="9.5703125" style="46" customWidth="1"/>
    <col min="4869" max="4869" width="8.5703125" style="46" customWidth="1"/>
    <col min="4870" max="4870" width="13.5703125" style="46" bestFit="1" customWidth="1"/>
    <col min="4871" max="4871" width="8.5703125" style="46" customWidth="1"/>
    <col min="4872" max="4872" width="11.42578125" style="46" customWidth="1"/>
    <col min="4873" max="4873" width="14.42578125" style="46" bestFit="1" customWidth="1"/>
    <col min="4874" max="4874" width="8.5703125" style="46" customWidth="1"/>
    <col min="4875" max="4875" width="13.5703125" style="46" bestFit="1" customWidth="1"/>
    <col min="4876" max="4876" width="8.5703125" style="46" customWidth="1"/>
    <col min="4877" max="4877" width="14.42578125" style="46" bestFit="1" customWidth="1"/>
    <col min="4878" max="4878" width="13.140625" style="46" bestFit="1" customWidth="1"/>
    <col min="4879" max="4879" width="14.42578125" style="46" bestFit="1" customWidth="1"/>
    <col min="4880" max="4881" width="8.5703125" style="46" customWidth="1"/>
    <col min="4882" max="4882" width="13.5703125" style="46" bestFit="1" customWidth="1"/>
    <col min="4883" max="4883" width="8.5703125" style="46" customWidth="1"/>
    <col min="4884" max="4884" width="13.5703125" style="46" bestFit="1" customWidth="1"/>
    <col min="4885" max="4887" width="8.5703125" style="46" customWidth="1"/>
    <col min="4888" max="4888" width="13.5703125" style="46" bestFit="1" customWidth="1"/>
    <col min="4889" max="4889" width="8.5703125" style="46" customWidth="1"/>
    <col min="4890" max="4890" width="14.42578125" style="46" bestFit="1" customWidth="1"/>
    <col min="4891" max="4891" width="13.5703125" style="46" bestFit="1" customWidth="1"/>
    <col min="4892" max="4893" width="8.5703125" style="46" customWidth="1"/>
    <col min="4894" max="4894" width="14.42578125" style="46" bestFit="1" customWidth="1"/>
    <col min="4895" max="4895" width="8.5703125" style="46" customWidth="1"/>
    <col min="4896" max="4896" width="13.5703125" style="46" bestFit="1" customWidth="1"/>
    <col min="4897" max="4901" width="8.5703125" style="46" customWidth="1"/>
    <col min="4902" max="4902" width="13.5703125" style="46" bestFit="1" customWidth="1"/>
    <col min="4903" max="4905" width="8.5703125" style="46" customWidth="1"/>
    <col min="4906" max="4906" width="13.5703125" style="46" bestFit="1" customWidth="1"/>
    <col min="4907" max="4907" width="14.42578125" style="46" customWidth="1"/>
    <col min="4908" max="5120" width="11.42578125" style="46"/>
    <col min="5121" max="5121" width="4.5703125" style="46" customWidth="1"/>
    <col min="5122" max="5122" width="7.42578125" style="46" customWidth="1"/>
    <col min="5123" max="5123" width="60.42578125" style="46" customWidth="1"/>
    <col min="5124" max="5124" width="9.5703125" style="46" customWidth="1"/>
    <col min="5125" max="5125" width="8.5703125" style="46" customWidth="1"/>
    <col min="5126" max="5126" width="13.5703125" style="46" bestFit="1" customWidth="1"/>
    <col min="5127" max="5127" width="8.5703125" style="46" customWidth="1"/>
    <col min="5128" max="5128" width="11.42578125" style="46" customWidth="1"/>
    <col min="5129" max="5129" width="14.42578125" style="46" bestFit="1" customWidth="1"/>
    <col min="5130" max="5130" width="8.5703125" style="46" customWidth="1"/>
    <col min="5131" max="5131" width="13.5703125" style="46" bestFit="1" customWidth="1"/>
    <col min="5132" max="5132" width="8.5703125" style="46" customWidth="1"/>
    <col min="5133" max="5133" width="14.42578125" style="46" bestFit="1" customWidth="1"/>
    <col min="5134" max="5134" width="13.140625" style="46" bestFit="1" customWidth="1"/>
    <col min="5135" max="5135" width="14.42578125" style="46" bestFit="1" customWidth="1"/>
    <col min="5136" max="5137" width="8.5703125" style="46" customWidth="1"/>
    <col min="5138" max="5138" width="13.5703125" style="46" bestFit="1" customWidth="1"/>
    <col min="5139" max="5139" width="8.5703125" style="46" customWidth="1"/>
    <col min="5140" max="5140" width="13.5703125" style="46" bestFit="1" customWidth="1"/>
    <col min="5141" max="5143" width="8.5703125" style="46" customWidth="1"/>
    <col min="5144" max="5144" width="13.5703125" style="46" bestFit="1" customWidth="1"/>
    <col min="5145" max="5145" width="8.5703125" style="46" customWidth="1"/>
    <col min="5146" max="5146" width="14.42578125" style="46" bestFit="1" customWidth="1"/>
    <col min="5147" max="5147" width="13.5703125" style="46" bestFit="1" customWidth="1"/>
    <col min="5148" max="5149" width="8.5703125" style="46" customWidth="1"/>
    <col min="5150" max="5150" width="14.42578125" style="46" bestFit="1" customWidth="1"/>
    <col min="5151" max="5151" width="8.5703125" style="46" customWidth="1"/>
    <col min="5152" max="5152" width="13.5703125" style="46" bestFit="1" customWidth="1"/>
    <col min="5153" max="5157" width="8.5703125" style="46" customWidth="1"/>
    <col min="5158" max="5158" width="13.5703125" style="46" bestFit="1" customWidth="1"/>
    <col min="5159" max="5161" width="8.5703125" style="46" customWidth="1"/>
    <col min="5162" max="5162" width="13.5703125" style="46" bestFit="1" customWidth="1"/>
    <col min="5163" max="5163" width="14.42578125" style="46" customWidth="1"/>
    <col min="5164" max="5376" width="11.42578125" style="46"/>
    <col min="5377" max="5377" width="4.5703125" style="46" customWidth="1"/>
    <col min="5378" max="5378" width="7.42578125" style="46" customWidth="1"/>
    <col min="5379" max="5379" width="60.42578125" style="46" customWidth="1"/>
    <col min="5380" max="5380" width="9.5703125" style="46" customWidth="1"/>
    <col min="5381" max="5381" width="8.5703125" style="46" customWidth="1"/>
    <col min="5382" max="5382" width="13.5703125" style="46" bestFit="1" customWidth="1"/>
    <col min="5383" max="5383" width="8.5703125" style="46" customWidth="1"/>
    <col min="5384" max="5384" width="11.42578125" style="46" customWidth="1"/>
    <col min="5385" max="5385" width="14.42578125" style="46" bestFit="1" customWidth="1"/>
    <col min="5386" max="5386" width="8.5703125" style="46" customWidth="1"/>
    <col min="5387" max="5387" width="13.5703125" style="46" bestFit="1" customWidth="1"/>
    <col min="5388" max="5388" width="8.5703125" style="46" customWidth="1"/>
    <col min="5389" max="5389" width="14.42578125" style="46" bestFit="1" customWidth="1"/>
    <col min="5390" max="5390" width="13.140625" style="46" bestFit="1" customWidth="1"/>
    <col min="5391" max="5391" width="14.42578125" style="46" bestFit="1" customWidth="1"/>
    <col min="5392" max="5393" width="8.5703125" style="46" customWidth="1"/>
    <col min="5394" max="5394" width="13.5703125" style="46" bestFit="1" customWidth="1"/>
    <col min="5395" max="5395" width="8.5703125" style="46" customWidth="1"/>
    <col min="5396" max="5396" width="13.5703125" style="46" bestFit="1" customWidth="1"/>
    <col min="5397" max="5399" width="8.5703125" style="46" customWidth="1"/>
    <col min="5400" max="5400" width="13.5703125" style="46" bestFit="1" customWidth="1"/>
    <col min="5401" max="5401" width="8.5703125" style="46" customWidth="1"/>
    <col min="5402" max="5402" width="14.42578125" style="46" bestFit="1" customWidth="1"/>
    <col min="5403" max="5403" width="13.5703125" style="46" bestFit="1" customWidth="1"/>
    <col min="5404" max="5405" width="8.5703125" style="46" customWidth="1"/>
    <col min="5406" max="5406" width="14.42578125" style="46" bestFit="1" customWidth="1"/>
    <col min="5407" max="5407" width="8.5703125" style="46" customWidth="1"/>
    <col min="5408" max="5408" width="13.5703125" style="46" bestFit="1" customWidth="1"/>
    <col min="5409" max="5413" width="8.5703125" style="46" customWidth="1"/>
    <col min="5414" max="5414" width="13.5703125" style="46" bestFit="1" customWidth="1"/>
    <col min="5415" max="5417" width="8.5703125" style="46" customWidth="1"/>
    <col min="5418" max="5418" width="13.5703125" style="46" bestFit="1" customWidth="1"/>
    <col min="5419" max="5419" width="14.42578125" style="46" customWidth="1"/>
    <col min="5420" max="5632" width="11.42578125" style="46"/>
    <col min="5633" max="5633" width="4.5703125" style="46" customWidth="1"/>
    <col min="5634" max="5634" width="7.42578125" style="46" customWidth="1"/>
    <col min="5635" max="5635" width="60.42578125" style="46" customWidth="1"/>
    <col min="5636" max="5636" width="9.5703125" style="46" customWidth="1"/>
    <col min="5637" max="5637" width="8.5703125" style="46" customWidth="1"/>
    <col min="5638" max="5638" width="13.5703125" style="46" bestFit="1" customWidth="1"/>
    <col min="5639" max="5639" width="8.5703125" style="46" customWidth="1"/>
    <col min="5640" max="5640" width="11.42578125" style="46" customWidth="1"/>
    <col min="5641" max="5641" width="14.42578125" style="46" bestFit="1" customWidth="1"/>
    <col min="5642" max="5642" width="8.5703125" style="46" customWidth="1"/>
    <col min="5643" max="5643" width="13.5703125" style="46" bestFit="1" customWidth="1"/>
    <col min="5644" max="5644" width="8.5703125" style="46" customWidth="1"/>
    <col min="5645" max="5645" width="14.42578125" style="46" bestFit="1" customWidth="1"/>
    <col min="5646" max="5646" width="13.140625" style="46" bestFit="1" customWidth="1"/>
    <col min="5647" max="5647" width="14.42578125" style="46" bestFit="1" customWidth="1"/>
    <col min="5648" max="5649" width="8.5703125" style="46" customWidth="1"/>
    <col min="5650" max="5650" width="13.5703125" style="46" bestFit="1" customWidth="1"/>
    <col min="5651" max="5651" width="8.5703125" style="46" customWidth="1"/>
    <col min="5652" max="5652" width="13.5703125" style="46" bestFit="1" customWidth="1"/>
    <col min="5653" max="5655" width="8.5703125" style="46" customWidth="1"/>
    <col min="5656" max="5656" width="13.5703125" style="46" bestFit="1" customWidth="1"/>
    <col min="5657" max="5657" width="8.5703125" style="46" customWidth="1"/>
    <col min="5658" max="5658" width="14.42578125" style="46" bestFit="1" customWidth="1"/>
    <col min="5659" max="5659" width="13.5703125" style="46" bestFit="1" customWidth="1"/>
    <col min="5660" max="5661" width="8.5703125" style="46" customWidth="1"/>
    <col min="5662" max="5662" width="14.42578125" style="46" bestFit="1" customWidth="1"/>
    <col min="5663" max="5663" width="8.5703125" style="46" customWidth="1"/>
    <col min="5664" max="5664" width="13.5703125" style="46" bestFit="1" customWidth="1"/>
    <col min="5665" max="5669" width="8.5703125" style="46" customWidth="1"/>
    <col min="5670" max="5670" width="13.5703125" style="46" bestFit="1" customWidth="1"/>
    <col min="5671" max="5673" width="8.5703125" style="46" customWidth="1"/>
    <col min="5674" max="5674" width="13.5703125" style="46" bestFit="1" customWidth="1"/>
    <col min="5675" max="5675" width="14.42578125" style="46" customWidth="1"/>
    <col min="5676" max="5888" width="11.42578125" style="46"/>
    <col min="5889" max="5889" width="4.5703125" style="46" customWidth="1"/>
    <col min="5890" max="5890" width="7.42578125" style="46" customWidth="1"/>
    <col min="5891" max="5891" width="60.42578125" style="46" customWidth="1"/>
    <col min="5892" max="5892" width="9.5703125" style="46" customWidth="1"/>
    <col min="5893" max="5893" width="8.5703125" style="46" customWidth="1"/>
    <col min="5894" max="5894" width="13.5703125" style="46" bestFit="1" customWidth="1"/>
    <col min="5895" max="5895" width="8.5703125" style="46" customWidth="1"/>
    <col min="5896" max="5896" width="11.42578125" style="46" customWidth="1"/>
    <col min="5897" max="5897" width="14.42578125" style="46" bestFit="1" customWidth="1"/>
    <col min="5898" max="5898" width="8.5703125" style="46" customWidth="1"/>
    <col min="5899" max="5899" width="13.5703125" style="46" bestFit="1" customWidth="1"/>
    <col min="5900" max="5900" width="8.5703125" style="46" customWidth="1"/>
    <col min="5901" max="5901" width="14.42578125" style="46" bestFit="1" customWidth="1"/>
    <col min="5902" max="5902" width="13.140625" style="46" bestFit="1" customWidth="1"/>
    <col min="5903" max="5903" width="14.42578125" style="46" bestFit="1" customWidth="1"/>
    <col min="5904" max="5905" width="8.5703125" style="46" customWidth="1"/>
    <col min="5906" max="5906" width="13.5703125" style="46" bestFit="1" customWidth="1"/>
    <col min="5907" max="5907" width="8.5703125" style="46" customWidth="1"/>
    <col min="5908" max="5908" width="13.5703125" style="46" bestFit="1" customWidth="1"/>
    <col min="5909" max="5911" width="8.5703125" style="46" customWidth="1"/>
    <col min="5912" max="5912" width="13.5703125" style="46" bestFit="1" customWidth="1"/>
    <col min="5913" max="5913" width="8.5703125" style="46" customWidth="1"/>
    <col min="5914" max="5914" width="14.42578125" style="46" bestFit="1" customWidth="1"/>
    <col min="5915" max="5915" width="13.5703125" style="46" bestFit="1" customWidth="1"/>
    <col min="5916" max="5917" width="8.5703125" style="46" customWidth="1"/>
    <col min="5918" max="5918" width="14.42578125" style="46" bestFit="1" customWidth="1"/>
    <col min="5919" max="5919" width="8.5703125" style="46" customWidth="1"/>
    <col min="5920" max="5920" width="13.5703125" style="46" bestFit="1" customWidth="1"/>
    <col min="5921" max="5925" width="8.5703125" style="46" customWidth="1"/>
    <col min="5926" max="5926" width="13.5703125" style="46" bestFit="1" customWidth="1"/>
    <col min="5927" max="5929" width="8.5703125" style="46" customWidth="1"/>
    <col min="5930" max="5930" width="13.5703125" style="46" bestFit="1" customWidth="1"/>
    <col min="5931" max="5931" width="14.42578125" style="46" customWidth="1"/>
    <col min="5932" max="6144" width="11.42578125" style="46"/>
    <col min="6145" max="6145" width="4.5703125" style="46" customWidth="1"/>
    <col min="6146" max="6146" width="7.42578125" style="46" customWidth="1"/>
    <col min="6147" max="6147" width="60.42578125" style="46" customWidth="1"/>
    <col min="6148" max="6148" width="9.5703125" style="46" customWidth="1"/>
    <col min="6149" max="6149" width="8.5703125" style="46" customWidth="1"/>
    <col min="6150" max="6150" width="13.5703125" style="46" bestFit="1" customWidth="1"/>
    <col min="6151" max="6151" width="8.5703125" style="46" customWidth="1"/>
    <col min="6152" max="6152" width="11.42578125" style="46" customWidth="1"/>
    <col min="6153" max="6153" width="14.42578125" style="46" bestFit="1" customWidth="1"/>
    <col min="6154" max="6154" width="8.5703125" style="46" customWidth="1"/>
    <col min="6155" max="6155" width="13.5703125" style="46" bestFit="1" customWidth="1"/>
    <col min="6156" max="6156" width="8.5703125" style="46" customWidth="1"/>
    <col min="6157" max="6157" width="14.42578125" style="46" bestFit="1" customWidth="1"/>
    <col min="6158" max="6158" width="13.140625" style="46" bestFit="1" customWidth="1"/>
    <col min="6159" max="6159" width="14.42578125" style="46" bestFit="1" customWidth="1"/>
    <col min="6160" max="6161" width="8.5703125" style="46" customWidth="1"/>
    <col min="6162" max="6162" width="13.5703125" style="46" bestFit="1" customWidth="1"/>
    <col min="6163" max="6163" width="8.5703125" style="46" customWidth="1"/>
    <col min="6164" max="6164" width="13.5703125" style="46" bestFit="1" customWidth="1"/>
    <col min="6165" max="6167" width="8.5703125" style="46" customWidth="1"/>
    <col min="6168" max="6168" width="13.5703125" style="46" bestFit="1" customWidth="1"/>
    <col min="6169" max="6169" width="8.5703125" style="46" customWidth="1"/>
    <col min="6170" max="6170" width="14.42578125" style="46" bestFit="1" customWidth="1"/>
    <col min="6171" max="6171" width="13.5703125" style="46" bestFit="1" customWidth="1"/>
    <col min="6172" max="6173" width="8.5703125" style="46" customWidth="1"/>
    <col min="6174" max="6174" width="14.42578125" style="46" bestFit="1" customWidth="1"/>
    <col min="6175" max="6175" width="8.5703125" style="46" customWidth="1"/>
    <col min="6176" max="6176" width="13.5703125" style="46" bestFit="1" customWidth="1"/>
    <col min="6177" max="6181" width="8.5703125" style="46" customWidth="1"/>
    <col min="6182" max="6182" width="13.5703125" style="46" bestFit="1" customWidth="1"/>
    <col min="6183" max="6185" width="8.5703125" style="46" customWidth="1"/>
    <col min="6186" max="6186" width="13.5703125" style="46" bestFit="1" customWidth="1"/>
    <col min="6187" max="6187" width="14.42578125" style="46" customWidth="1"/>
    <col min="6188" max="6400" width="11.42578125" style="46"/>
    <col min="6401" max="6401" width="4.5703125" style="46" customWidth="1"/>
    <col min="6402" max="6402" width="7.42578125" style="46" customWidth="1"/>
    <col min="6403" max="6403" width="60.42578125" style="46" customWidth="1"/>
    <col min="6404" max="6404" width="9.5703125" style="46" customWidth="1"/>
    <col min="6405" max="6405" width="8.5703125" style="46" customWidth="1"/>
    <col min="6406" max="6406" width="13.5703125" style="46" bestFit="1" customWidth="1"/>
    <col min="6407" max="6407" width="8.5703125" style="46" customWidth="1"/>
    <col min="6408" max="6408" width="11.42578125" style="46" customWidth="1"/>
    <col min="6409" max="6409" width="14.42578125" style="46" bestFit="1" customWidth="1"/>
    <col min="6410" max="6410" width="8.5703125" style="46" customWidth="1"/>
    <col min="6411" max="6411" width="13.5703125" style="46" bestFit="1" customWidth="1"/>
    <col min="6412" max="6412" width="8.5703125" style="46" customWidth="1"/>
    <col min="6413" max="6413" width="14.42578125" style="46" bestFit="1" customWidth="1"/>
    <col min="6414" max="6414" width="13.140625" style="46" bestFit="1" customWidth="1"/>
    <col min="6415" max="6415" width="14.42578125" style="46" bestFit="1" customWidth="1"/>
    <col min="6416" max="6417" width="8.5703125" style="46" customWidth="1"/>
    <col min="6418" max="6418" width="13.5703125" style="46" bestFit="1" customWidth="1"/>
    <col min="6419" max="6419" width="8.5703125" style="46" customWidth="1"/>
    <col min="6420" max="6420" width="13.5703125" style="46" bestFit="1" customWidth="1"/>
    <col min="6421" max="6423" width="8.5703125" style="46" customWidth="1"/>
    <col min="6424" max="6424" width="13.5703125" style="46" bestFit="1" customWidth="1"/>
    <col min="6425" max="6425" width="8.5703125" style="46" customWidth="1"/>
    <col min="6426" max="6426" width="14.42578125" style="46" bestFit="1" customWidth="1"/>
    <col min="6427" max="6427" width="13.5703125" style="46" bestFit="1" customWidth="1"/>
    <col min="6428" max="6429" width="8.5703125" style="46" customWidth="1"/>
    <col min="6430" max="6430" width="14.42578125" style="46" bestFit="1" customWidth="1"/>
    <col min="6431" max="6431" width="8.5703125" style="46" customWidth="1"/>
    <col min="6432" max="6432" width="13.5703125" style="46" bestFit="1" customWidth="1"/>
    <col min="6433" max="6437" width="8.5703125" style="46" customWidth="1"/>
    <col min="6438" max="6438" width="13.5703125" style="46" bestFit="1" customWidth="1"/>
    <col min="6439" max="6441" width="8.5703125" style="46" customWidth="1"/>
    <col min="6442" max="6442" width="13.5703125" style="46" bestFit="1" customWidth="1"/>
    <col min="6443" max="6443" width="14.42578125" style="46" customWidth="1"/>
    <col min="6444" max="6656" width="11.42578125" style="46"/>
    <col min="6657" max="6657" width="4.5703125" style="46" customWidth="1"/>
    <col min="6658" max="6658" width="7.42578125" style="46" customWidth="1"/>
    <col min="6659" max="6659" width="60.42578125" style="46" customWidth="1"/>
    <col min="6660" max="6660" width="9.5703125" style="46" customWidth="1"/>
    <col min="6661" max="6661" width="8.5703125" style="46" customWidth="1"/>
    <col min="6662" max="6662" width="13.5703125" style="46" bestFit="1" customWidth="1"/>
    <col min="6663" max="6663" width="8.5703125" style="46" customWidth="1"/>
    <col min="6664" max="6664" width="11.42578125" style="46" customWidth="1"/>
    <col min="6665" max="6665" width="14.42578125" style="46" bestFit="1" customWidth="1"/>
    <col min="6666" max="6666" width="8.5703125" style="46" customWidth="1"/>
    <col min="6667" max="6667" width="13.5703125" style="46" bestFit="1" customWidth="1"/>
    <col min="6668" max="6668" width="8.5703125" style="46" customWidth="1"/>
    <col min="6669" max="6669" width="14.42578125" style="46" bestFit="1" customWidth="1"/>
    <col min="6670" max="6670" width="13.140625" style="46" bestFit="1" customWidth="1"/>
    <col min="6671" max="6671" width="14.42578125" style="46" bestFit="1" customWidth="1"/>
    <col min="6672" max="6673" width="8.5703125" style="46" customWidth="1"/>
    <col min="6674" max="6674" width="13.5703125" style="46" bestFit="1" customWidth="1"/>
    <col min="6675" max="6675" width="8.5703125" style="46" customWidth="1"/>
    <col min="6676" max="6676" width="13.5703125" style="46" bestFit="1" customWidth="1"/>
    <col min="6677" max="6679" width="8.5703125" style="46" customWidth="1"/>
    <col min="6680" max="6680" width="13.5703125" style="46" bestFit="1" customWidth="1"/>
    <col min="6681" max="6681" width="8.5703125" style="46" customWidth="1"/>
    <col min="6682" max="6682" width="14.42578125" style="46" bestFit="1" customWidth="1"/>
    <col min="6683" max="6683" width="13.5703125" style="46" bestFit="1" customWidth="1"/>
    <col min="6684" max="6685" width="8.5703125" style="46" customWidth="1"/>
    <col min="6686" max="6686" width="14.42578125" style="46" bestFit="1" customWidth="1"/>
    <col min="6687" max="6687" width="8.5703125" style="46" customWidth="1"/>
    <col min="6688" max="6688" width="13.5703125" style="46" bestFit="1" customWidth="1"/>
    <col min="6689" max="6693" width="8.5703125" style="46" customWidth="1"/>
    <col min="6694" max="6694" width="13.5703125" style="46" bestFit="1" customWidth="1"/>
    <col min="6695" max="6697" width="8.5703125" style="46" customWidth="1"/>
    <col min="6698" max="6698" width="13.5703125" style="46" bestFit="1" customWidth="1"/>
    <col min="6699" max="6699" width="14.42578125" style="46" customWidth="1"/>
    <col min="6700" max="6912" width="11.42578125" style="46"/>
    <col min="6913" max="6913" width="4.5703125" style="46" customWidth="1"/>
    <col min="6914" max="6914" width="7.42578125" style="46" customWidth="1"/>
    <col min="6915" max="6915" width="60.42578125" style="46" customWidth="1"/>
    <col min="6916" max="6916" width="9.5703125" style="46" customWidth="1"/>
    <col min="6917" max="6917" width="8.5703125" style="46" customWidth="1"/>
    <col min="6918" max="6918" width="13.5703125" style="46" bestFit="1" customWidth="1"/>
    <col min="6919" max="6919" width="8.5703125" style="46" customWidth="1"/>
    <col min="6920" max="6920" width="11.42578125" style="46" customWidth="1"/>
    <col min="6921" max="6921" width="14.42578125" style="46" bestFit="1" customWidth="1"/>
    <col min="6922" max="6922" width="8.5703125" style="46" customWidth="1"/>
    <col min="6923" max="6923" width="13.5703125" style="46" bestFit="1" customWidth="1"/>
    <col min="6924" max="6924" width="8.5703125" style="46" customWidth="1"/>
    <col min="6925" max="6925" width="14.42578125" style="46" bestFit="1" customWidth="1"/>
    <col min="6926" max="6926" width="13.140625" style="46" bestFit="1" customWidth="1"/>
    <col min="6927" max="6927" width="14.42578125" style="46" bestFit="1" customWidth="1"/>
    <col min="6928" max="6929" width="8.5703125" style="46" customWidth="1"/>
    <col min="6930" max="6930" width="13.5703125" style="46" bestFit="1" customWidth="1"/>
    <col min="6931" max="6931" width="8.5703125" style="46" customWidth="1"/>
    <col min="6932" max="6932" width="13.5703125" style="46" bestFit="1" customWidth="1"/>
    <col min="6933" max="6935" width="8.5703125" style="46" customWidth="1"/>
    <col min="6936" max="6936" width="13.5703125" style="46" bestFit="1" customWidth="1"/>
    <col min="6937" max="6937" width="8.5703125" style="46" customWidth="1"/>
    <col min="6938" max="6938" width="14.42578125" style="46" bestFit="1" customWidth="1"/>
    <col min="6939" max="6939" width="13.5703125" style="46" bestFit="1" customWidth="1"/>
    <col min="6940" max="6941" width="8.5703125" style="46" customWidth="1"/>
    <col min="6942" max="6942" width="14.42578125" style="46" bestFit="1" customWidth="1"/>
    <col min="6943" max="6943" width="8.5703125" style="46" customWidth="1"/>
    <col min="6944" max="6944" width="13.5703125" style="46" bestFit="1" customWidth="1"/>
    <col min="6945" max="6949" width="8.5703125" style="46" customWidth="1"/>
    <col min="6950" max="6950" width="13.5703125" style="46" bestFit="1" customWidth="1"/>
    <col min="6951" max="6953" width="8.5703125" style="46" customWidth="1"/>
    <col min="6954" max="6954" width="13.5703125" style="46" bestFit="1" customWidth="1"/>
    <col min="6955" max="6955" width="14.42578125" style="46" customWidth="1"/>
    <col min="6956" max="7168" width="11.42578125" style="46"/>
    <col min="7169" max="7169" width="4.5703125" style="46" customWidth="1"/>
    <col min="7170" max="7170" width="7.42578125" style="46" customWidth="1"/>
    <col min="7171" max="7171" width="60.42578125" style="46" customWidth="1"/>
    <col min="7172" max="7172" width="9.5703125" style="46" customWidth="1"/>
    <col min="7173" max="7173" width="8.5703125" style="46" customWidth="1"/>
    <col min="7174" max="7174" width="13.5703125" style="46" bestFit="1" customWidth="1"/>
    <col min="7175" max="7175" width="8.5703125" style="46" customWidth="1"/>
    <col min="7176" max="7176" width="11.42578125" style="46" customWidth="1"/>
    <col min="7177" max="7177" width="14.42578125" style="46" bestFit="1" customWidth="1"/>
    <col min="7178" max="7178" width="8.5703125" style="46" customWidth="1"/>
    <col min="7179" max="7179" width="13.5703125" style="46" bestFit="1" customWidth="1"/>
    <col min="7180" max="7180" width="8.5703125" style="46" customWidth="1"/>
    <col min="7181" max="7181" width="14.42578125" style="46" bestFit="1" customWidth="1"/>
    <col min="7182" max="7182" width="13.140625" style="46" bestFit="1" customWidth="1"/>
    <col min="7183" max="7183" width="14.42578125" style="46" bestFit="1" customWidth="1"/>
    <col min="7184" max="7185" width="8.5703125" style="46" customWidth="1"/>
    <col min="7186" max="7186" width="13.5703125" style="46" bestFit="1" customWidth="1"/>
    <col min="7187" max="7187" width="8.5703125" style="46" customWidth="1"/>
    <col min="7188" max="7188" width="13.5703125" style="46" bestFit="1" customWidth="1"/>
    <col min="7189" max="7191" width="8.5703125" style="46" customWidth="1"/>
    <col min="7192" max="7192" width="13.5703125" style="46" bestFit="1" customWidth="1"/>
    <col min="7193" max="7193" width="8.5703125" style="46" customWidth="1"/>
    <col min="7194" max="7194" width="14.42578125" style="46" bestFit="1" customWidth="1"/>
    <col min="7195" max="7195" width="13.5703125" style="46" bestFit="1" customWidth="1"/>
    <col min="7196" max="7197" width="8.5703125" style="46" customWidth="1"/>
    <col min="7198" max="7198" width="14.42578125" style="46" bestFit="1" customWidth="1"/>
    <col min="7199" max="7199" width="8.5703125" style="46" customWidth="1"/>
    <col min="7200" max="7200" width="13.5703125" style="46" bestFit="1" customWidth="1"/>
    <col min="7201" max="7205" width="8.5703125" style="46" customWidth="1"/>
    <col min="7206" max="7206" width="13.5703125" style="46" bestFit="1" customWidth="1"/>
    <col min="7207" max="7209" width="8.5703125" style="46" customWidth="1"/>
    <col min="7210" max="7210" width="13.5703125" style="46" bestFit="1" customWidth="1"/>
    <col min="7211" max="7211" width="14.42578125" style="46" customWidth="1"/>
    <col min="7212" max="7424" width="11.42578125" style="46"/>
    <col min="7425" max="7425" width="4.5703125" style="46" customWidth="1"/>
    <col min="7426" max="7426" width="7.42578125" style="46" customWidth="1"/>
    <col min="7427" max="7427" width="60.42578125" style="46" customWidth="1"/>
    <col min="7428" max="7428" width="9.5703125" style="46" customWidth="1"/>
    <col min="7429" max="7429" width="8.5703125" style="46" customWidth="1"/>
    <col min="7430" max="7430" width="13.5703125" style="46" bestFit="1" customWidth="1"/>
    <col min="7431" max="7431" width="8.5703125" style="46" customWidth="1"/>
    <col min="7432" max="7432" width="11.42578125" style="46" customWidth="1"/>
    <col min="7433" max="7433" width="14.42578125" style="46" bestFit="1" customWidth="1"/>
    <col min="7434" max="7434" width="8.5703125" style="46" customWidth="1"/>
    <col min="7435" max="7435" width="13.5703125" style="46" bestFit="1" customWidth="1"/>
    <col min="7436" max="7436" width="8.5703125" style="46" customWidth="1"/>
    <col min="7437" max="7437" width="14.42578125" style="46" bestFit="1" customWidth="1"/>
    <col min="7438" max="7438" width="13.140625" style="46" bestFit="1" customWidth="1"/>
    <col min="7439" max="7439" width="14.42578125" style="46" bestFit="1" customWidth="1"/>
    <col min="7440" max="7441" width="8.5703125" style="46" customWidth="1"/>
    <col min="7442" max="7442" width="13.5703125" style="46" bestFit="1" customWidth="1"/>
    <col min="7443" max="7443" width="8.5703125" style="46" customWidth="1"/>
    <col min="7444" max="7444" width="13.5703125" style="46" bestFit="1" customWidth="1"/>
    <col min="7445" max="7447" width="8.5703125" style="46" customWidth="1"/>
    <col min="7448" max="7448" width="13.5703125" style="46" bestFit="1" customWidth="1"/>
    <col min="7449" max="7449" width="8.5703125" style="46" customWidth="1"/>
    <col min="7450" max="7450" width="14.42578125" style="46" bestFit="1" customWidth="1"/>
    <col min="7451" max="7451" width="13.5703125" style="46" bestFit="1" customWidth="1"/>
    <col min="7452" max="7453" width="8.5703125" style="46" customWidth="1"/>
    <col min="7454" max="7454" width="14.42578125" style="46" bestFit="1" customWidth="1"/>
    <col min="7455" max="7455" width="8.5703125" style="46" customWidth="1"/>
    <col min="7456" max="7456" width="13.5703125" style="46" bestFit="1" customWidth="1"/>
    <col min="7457" max="7461" width="8.5703125" style="46" customWidth="1"/>
    <col min="7462" max="7462" width="13.5703125" style="46" bestFit="1" customWidth="1"/>
    <col min="7463" max="7465" width="8.5703125" style="46" customWidth="1"/>
    <col min="7466" max="7466" width="13.5703125" style="46" bestFit="1" customWidth="1"/>
    <col min="7467" max="7467" width="14.42578125" style="46" customWidth="1"/>
    <col min="7468" max="7680" width="11.42578125" style="46"/>
    <col min="7681" max="7681" width="4.5703125" style="46" customWidth="1"/>
    <col min="7682" max="7682" width="7.42578125" style="46" customWidth="1"/>
    <col min="7683" max="7683" width="60.42578125" style="46" customWidth="1"/>
    <col min="7684" max="7684" width="9.5703125" style="46" customWidth="1"/>
    <col min="7685" max="7685" width="8.5703125" style="46" customWidth="1"/>
    <col min="7686" max="7686" width="13.5703125" style="46" bestFit="1" customWidth="1"/>
    <col min="7687" max="7687" width="8.5703125" style="46" customWidth="1"/>
    <col min="7688" max="7688" width="11.42578125" style="46" customWidth="1"/>
    <col min="7689" max="7689" width="14.42578125" style="46" bestFit="1" customWidth="1"/>
    <col min="7690" max="7690" width="8.5703125" style="46" customWidth="1"/>
    <col min="7691" max="7691" width="13.5703125" style="46" bestFit="1" customWidth="1"/>
    <col min="7692" max="7692" width="8.5703125" style="46" customWidth="1"/>
    <col min="7693" max="7693" width="14.42578125" style="46" bestFit="1" customWidth="1"/>
    <col min="7694" max="7694" width="13.140625" style="46" bestFit="1" customWidth="1"/>
    <col min="7695" max="7695" width="14.42578125" style="46" bestFit="1" customWidth="1"/>
    <col min="7696" max="7697" width="8.5703125" style="46" customWidth="1"/>
    <col min="7698" max="7698" width="13.5703125" style="46" bestFit="1" customWidth="1"/>
    <col min="7699" max="7699" width="8.5703125" style="46" customWidth="1"/>
    <col min="7700" max="7700" width="13.5703125" style="46" bestFit="1" customWidth="1"/>
    <col min="7701" max="7703" width="8.5703125" style="46" customWidth="1"/>
    <col min="7704" max="7704" width="13.5703125" style="46" bestFit="1" customWidth="1"/>
    <col min="7705" max="7705" width="8.5703125" style="46" customWidth="1"/>
    <col min="7706" max="7706" width="14.42578125" style="46" bestFit="1" customWidth="1"/>
    <col min="7707" max="7707" width="13.5703125" style="46" bestFit="1" customWidth="1"/>
    <col min="7708" max="7709" width="8.5703125" style="46" customWidth="1"/>
    <col min="7710" max="7710" width="14.42578125" style="46" bestFit="1" customWidth="1"/>
    <col min="7711" max="7711" width="8.5703125" style="46" customWidth="1"/>
    <col min="7712" max="7712" width="13.5703125" style="46" bestFit="1" customWidth="1"/>
    <col min="7713" max="7717" width="8.5703125" style="46" customWidth="1"/>
    <col min="7718" max="7718" width="13.5703125" style="46" bestFit="1" customWidth="1"/>
    <col min="7719" max="7721" width="8.5703125" style="46" customWidth="1"/>
    <col min="7722" max="7722" width="13.5703125" style="46" bestFit="1" customWidth="1"/>
    <col min="7723" max="7723" width="14.42578125" style="46" customWidth="1"/>
    <col min="7724" max="7936" width="11.42578125" style="46"/>
    <col min="7937" max="7937" width="4.5703125" style="46" customWidth="1"/>
    <col min="7938" max="7938" width="7.42578125" style="46" customWidth="1"/>
    <col min="7939" max="7939" width="60.42578125" style="46" customWidth="1"/>
    <col min="7940" max="7940" width="9.5703125" style="46" customWidth="1"/>
    <col min="7941" max="7941" width="8.5703125" style="46" customWidth="1"/>
    <col min="7942" max="7942" width="13.5703125" style="46" bestFit="1" customWidth="1"/>
    <col min="7943" max="7943" width="8.5703125" style="46" customWidth="1"/>
    <col min="7944" max="7944" width="11.42578125" style="46" customWidth="1"/>
    <col min="7945" max="7945" width="14.42578125" style="46" bestFit="1" customWidth="1"/>
    <col min="7946" max="7946" width="8.5703125" style="46" customWidth="1"/>
    <col min="7947" max="7947" width="13.5703125" style="46" bestFit="1" customWidth="1"/>
    <col min="7948" max="7948" width="8.5703125" style="46" customWidth="1"/>
    <col min="7949" max="7949" width="14.42578125" style="46" bestFit="1" customWidth="1"/>
    <col min="7950" max="7950" width="13.140625" style="46" bestFit="1" customWidth="1"/>
    <col min="7951" max="7951" width="14.42578125" style="46" bestFit="1" customWidth="1"/>
    <col min="7952" max="7953" width="8.5703125" style="46" customWidth="1"/>
    <col min="7954" max="7954" width="13.5703125" style="46" bestFit="1" customWidth="1"/>
    <col min="7955" max="7955" width="8.5703125" style="46" customWidth="1"/>
    <col min="7956" max="7956" width="13.5703125" style="46" bestFit="1" customWidth="1"/>
    <col min="7957" max="7959" width="8.5703125" style="46" customWidth="1"/>
    <col min="7960" max="7960" width="13.5703125" style="46" bestFit="1" customWidth="1"/>
    <col min="7961" max="7961" width="8.5703125" style="46" customWidth="1"/>
    <col min="7962" max="7962" width="14.42578125" style="46" bestFit="1" customWidth="1"/>
    <col min="7963" max="7963" width="13.5703125" style="46" bestFit="1" customWidth="1"/>
    <col min="7964" max="7965" width="8.5703125" style="46" customWidth="1"/>
    <col min="7966" max="7966" width="14.42578125" style="46" bestFit="1" customWidth="1"/>
    <col min="7967" max="7967" width="8.5703125" style="46" customWidth="1"/>
    <col min="7968" max="7968" width="13.5703125" style="46" bestFit="1" customWidth="1"/>
    <col min="7969" max="7973" width="8.5703125" style="46" customWidth="1"/>
    <col min="7974" max="7974" width="13.5703125" style="46" bestFit="1" customWidth="1"/>
    <col min="7975" max="7977" width="8.5703125" style="46" customWidth="1"/>
    <col min="7978" max="7978" width="13.5703125" style="46" bestFit="1" customWidth="1"/>
    <col min="7979" max="7979" width="14.42578125" style="46" customWidth="1"/>
    <col min="7980" max="8192" width="11.42578125" style="46"/>
    <col min="8193" max="8193" width="4.5703125" style="46" customWidth="1"/>
    <col min="8194" max="8194" width="7.42578125" style="46" customWidth="1"/>
    <col min="8195" max="8195" width="60.42578125" style="46" customWidth="1"/>
    <col min="8196" max="8196" width="9.5703125" style="46" customWidth="1"/>
    <col min="8197" max="8197" width="8.5703125" style="46" customWidth="1"/>
    <col min="8198" max="8198" width="13.5703125" style="46" bestFit="1" customWidth="1"/>
    <col min="8199" max="8199" width="8.5703125" style="46" customWidth="1"/>
    <col min="8200" max="8200" width="11.42578125" style="46" customWidth="1"/>
    <col min="8201" max="8201" width="14.42578125" style="46" bestFit="1" customWidth="1"/>
    <col min="8202" max="8202" width="8.5703125" style="46" customWidth="1"/>
    <col min="8203" max="8203" width="13.5703125" style="46" bestFit="1" customWidth="1"/>
    <col min="8204" max="8204" width="8.5703125" style="46" customWidth="1"/>
    <col min="8205" max="8205" width="14.42578125" style="46" bestFit="1" customWidth="1"/>
    <col min="8206" max="8206" width="13.140625" style="46" bestFit="1" customWidth="1"/>
    <col min="8207" max="8207" width="14.42578125" style="46" bestFit="1" customWidth="1"/>
    <col min="8208" max="8209" width="8.5703125" style="46" customWidth="1"/>
    <col min="8210" max="8210" width="13.5703125" style="46" bestFit="1" customWidth="1"/>
    <col min="8211" max="8211" width="8.5703125" style="46" customWidth="1"/>
    <col min="8212" max="8212" width="13.5703125" style="46" bestFit="1" customWidth="1"/>
    <col min="8213" max="8215" width="8.5703125" style="46" customWidth="1"/>
    <col min="8216" max="8216" width="13.5703125" style="46" bestFit="1" customWidth="1"/>
    <col min="8217" max="8217" width="8.5703125" style="46" customWidth="1"/>
    <col min="8218" max="8218" width="14.42578125" style="46" bestFit="1" customWidth="1"/>
    <col min="8219" max="8219" width="13.5703125" style="46" bestFit="1" customWidth="1"/>
    <col min="8220" max="8221" width="8.5703125" style="46" customWidth="1"/>
    <col min="8222" max="8222" width="14.42578125" style="46" bestFit="1" customWidth="1"/>
    <col min="8223" max="8223" width="8.5703125" style="46" customWidth="1"/>
    <col min="8224" max="8224" width="13.5703125" style="46" bestFit="1" customWidth="1"/>
    <col min="8225" max="8229" width="8.5703125" style="46" customWidth="1"/>
    <col min="8230" max="8230" width="13.5703125" style="46" bestFit="1" customWidth="1"/>
    <col min="8231" max="8233" width="8.5703125" style="46" customWidth="1"/>
    <col min="8234" max="8234" width="13.5703125" style="46" bestFit="1" customWidth="1"/>
    <col min="8235" max="8235" width="14.42578125" style="46" customWidth="1"/>
    <col min="8236" max="8448" width="11.42578125" style="46"/>
    <col min="8449" max="8449" width="4.5703125" style="46" customWidth="1"/>
    <col min="8450" max="8450" width="7.42578125" style="46" customWidth="1"/>
    <col min="8451" max="8451" width="60.42578125" style="46" customWidth="1"/>
    <col min="8452" max="8452" width="9.5703125" style="46" customWidth="1"/>
    <col min="8453" max="8453" width="8.5703125" style="46" customWidth="1"/>
    <col min="8454" max="8454" width="13.5703125" style="46" bestFit="1" customWidth="1"/>
    <col min="8455" max="8455" width="8.5703125" style="46" customWidth="1"/>
    <col min="8456" max="8456" width="11.42578125" style="46" customWidth="1"/>
    <col min="8457" max="8457" width="14.42578125" style="46" bestFit="1" customWidth="1"/>
    <col min="8458" max="8458" width="8.5703125" style="46" customWidth="1"/>
    <col min="8459" max="8459" width="13.5703125" style="46" bestFit="1" customWidth="1"/>
    <col min="8460" max="8460" width="8.5703125" style="46" customWidth="1"/>
    <col min="8461" max="8461" width="14.42578125" style="46" bestFit="1" customWidth="1"/>
    <col min="8462" max="8462" width="13.140625" style="46" bestFit="1" customWidth="1"/>
    <col min="8463" max="8463" width="14.42578125" style="46" bestFit="1" customWidth="1"/>
    <col min="8464" max="8465" width="8.5703125" style="46" customWidth="1"/>
    <col min="8466" max="8466" width="13.5703125" style="46" bestFit="1" customWidth="1"/>
    <col min="8467" max="8467" width="8.5703125" style="46" customWidth="1"/>
    <col min="8468" max="8468" width="13.5703125" style="46" bestFit="1" customWidth="1"/>
    <col min="8469" max="8471" width="8.5703125" style="46" customWidth="1"/>
    <col min="8472" max="8472" width="13.5703125" style="46" bestFit="1" customWidth="1"/>
    <col min="8473" max="8473" width="8.5703125" style="46" customWidth="1"/>
    <col min="8474" max="8474" width="14.42578125" style="46" bestFit="1" customWidth="1"/>
    <col min="8475" max="8475" width="13.5703125" style="46" bestFit="1" customWidth="1"/>
    <col min="8476" max="8477" width="8.5703125" style="46" customWidth="1"/>
    <col min="8478" max="8478" width="14.42578125" style="46" bestFit="1" customWidth="1"/>
    <col min="8479" max="8479" width="8.5703125" style="46" customWidth="1"/>
    <col min="8480" max="8480" width="13.5703125" style="46" bestFit="1" customWidth="1"/>
    <col min="8481" max="8485" width="8.5703125" style="46" customWidth="1"/>
    <col min="8486" max="8486" width="13.5703125" style="46" bestFit="1" customWidth="1"/>
    <col min="8487" max="8489" width="8.5703125" style="46" customWidth="1"/>
    <col min="8490" max="8490" width="13.5703125" style="46" bestFit="1" customWidth="1"/>
    <col min="8491" max="8491" width="14.42578125" style="46" customWidth="1"/>
    <col min="8492" max="8704" width="11.42578125" style="46"/>
    <col min="8705" max="8705" width="4.5703125" style="46" customWidth="1"/>
    <col min="8706" max="8706" width="7.42578125" style="46" customWidth="1"/>
    <col min="8707" max="8707" width="60.42578125" style="46" customWidth="1"/>
    <col min="8708" max="8708" width="9.5703125" style="46" customWidth="1"/>
    <col min="8709" max="8709" width="8.5703125" style="46" customWidth="1"/>
    <col min="8710" max="8710" width="13.5703125" style="46" bestFit="1" customWidth="1"/>
    <col min="8711" max="8711" width="8.5703125" style="46" customWidth="1"/>
    <col min="8712" max="8712" width="11.42578125" style="46" customWidth="1"/>
    <col min="8713" max="8713" width="14.42578125" style="46" bestFit="1" customWidth="1"/>
    <col min="8714" max="8714" width="8.5703125" style="46" customWidth="1"/>
    <col min="8715" max="8715" width="13.5703125" style="46" bestFit="1" customWidth="1"/>
    <col min="8716" max="8716" width="8.5703125" style="46" customWidth="1"/>
    <col min="8717" max="8717" width="14.42578125" style="46" bestFit="1" customWidth="1"/>
    <col min="8718" max="8718" width="13.140625" style="46" bestFit="1" customWidth="1"/>
    <col min="8719" max="8719" width="14.42578125" style="46" bestFit="1" customWidth="1"/>
    <col min="8720" max="8721" width="8.5703125" style="46" customWidth="1"/>
    <col min="8722" max="8722" width="13.5703125" style="46" bestFit="1" customWidth="1"/>
    <col min="8723" max="8723" width="8.5703125" style="46" customWidth="1"/>
    <col min="8724" max="8724" width="13.5703125" style="46" bestFit="1" customWidth="1"/>
    <col min="8725" max="8727" width="8.5703125" style="46" customWidth="1"/>
    <col min="8728" max="8728" width="13.5703125" style="46" bestFit="1" customWidth="1"/>
    <col min="8729" max="8729" width="8.5703125" style="46" customWidth="1"/>
    <col min="8730" max="8730" width="14.42578125" style="46" bestFit="1" customWidth="1"/>
    <col min="8731" max="8731" width="13.5703125" style="46" bestFit="1" customWidth="1"/>
    <col min="8732" max="8733" width="8.5703125" style="46" customWidth="1"/>
    <col min="8734" max="8734" width="14.42578125" style="46" bestFit="1" customWidth="1"/>
    <col min="8735" max="8735" width="8.5703125" style="46" customWidth="1"/>
    <col min="8736" max="8736" width="13.5703125" style="46" bestFit="1" customWidth="1"/>
    <col min="8737" max="8741" width="8.5703125" style="46" customWidth="1"/>
    <col min="8742" max="8742" width="13.5703125" style="46" bestFit="1" customWidth="1"/>
    <col min="8743" max="8745" width="8.5703125" style="46" customWidth="1"/>
    <col min="8746" max="8746" width="13.5703125" style="46" bestFit="1" customWidth="1"/>
    <col min="8747" max="8747" width="14.42578125" style="46" customWidth="1"/>
    <col min="8748" max="8960" width="11.42578125" style="46"/>
    <col min="8961" max="8961" width="4.5703125" style="46" customWidth="1"/>
    <col min="8962" max="8962" width="7.42578125" style="46" customWidth="1"/>
    <col min="8963" max="8963" width="60.42578125" style="46" customWidth="1"/>
    <col min="8964" max="8964" width="9.5703125" style="46" customWidth="1"/>
    <col min="8965" max="8965" width="8.5703125" style="46" customWidth="1"/>
    <col min="8966" max="8966" width="13.5703125" style="46" bestFit="1" customWidth="1"/>
    <col min="8967" max="8967" width="8.5703125" style="46" customWidth="1"/>
    <col min="8968" max="8968" width="11.42578125" style="46" customWidth="1"/>
    <col min="8969" max="8969" width="14.42578125" style="46" bestFit="1" customWidth="1"/>
    <col min="8970" max="8970" width="8.5703125" style="46" customWidth="1"/>
    <col min="8971" max="8971" width="13.5703125" style="46" bestFit="1" customWidth="1"/>
    <col min="8972" max="8972" width="8.5703125" style="46" customWidth="1"/>
    <col min="8973" max="8973" width="14.42578125" style="46" bestFit="1" customWidth="1"/>
    <col min="8974" max="8974" width="13.140625" style="46" bestFit="1" customWidth="1"/>
    <col min="8975" max="8975" width="14.42578125" style="46" bestFit="1" customWidth="1"/>
    <col min="8976" max="8977" width="8.5703125" style="46" customWidth="1"/>
    <col min="8978" max="8978" width="13.5703125" style="46" bestFit="1" customWidth="1"/>
    <col min="8979" max="8979" width="8.5703125" style="46" customWidth="1"/>
    <col min="8980" max="8980" width="13.5703125" style="46" bestFit="1" customWidth="1"/>
    <col min="8981" max="8983" width="8.5703125" style="46" customWidth="1"/>
    <col min="8984" max="8984" width="13.5703125" style="46" bestFit="1" customWidth="1"/>
    <col min="8985" max="8985" width="8.5703125" style="46" customWidth="1"/>
    <col min="8986" max="8986" width="14.42578125" style="46" bestFit="1" customWidth="1"/>
    <col min="8987" max="8987" width="13.5703125" style="46" bestFit="1" customWidth="1"/>
    <col min="8988" max="8989" width="8.5703125" style="46" customWidth="1"/>
    <col min="8990" max="8990" width="14.42578125" style="46" bestFit="1" customWidth="1"/>
    <col min="8991" max="8991" width="8.5703125" style="46" customWidth="1"/>
    <col min="8992" max="8992" width="13.5703125" style="46" bestFit="1" customWidth="1"/>
    <col min="8993" max="8997" width="8.5703125" style="46" customWidth="1"/>
    <col min="8998" max="8998" width="13.5703125" style="46" bestFit="1" customWidth="1"/>
    <col min="8999" max="9001" width="8.5703125" style="46" customWidth="1"/>
    <col min="9002" max="9002" width="13.5703125" style="46" bestFit="1" customWidth="1"/>
    <col min="9003" max="9003" width="14.42578125" style="46" customWidth="1"/>
    <col min="9004" max="9216" width="11.42578125" style="46"/>
    <col min="9217" max="9217" width="4.5703125" style="46" customWidth="1"/>
    <col min="9218" max="9218" width="7.42578125" style="46" customWidth="1"/>
    <col min="9219" max="9219" width="60.42578125" style="46" customWidth="1"/>
    <col min="9220" max="9220" width="9.5703125" style="46" customWidth="1"/>
    <col min="9221" max="9221" width="8.5703125" style="46" customWidth="1"/>
    <col min="9222" max="9222" width="13.5703125" style="46" bestFit="1" customWidth="1"/>
    <col min="9223" max="9223" width="8.5703125" style="46" customWidth="1"/>
    <col min="9224" max="9224" width="11.42578125" style="46" customWidth="1"/>
    <col min="9225" max="9225" width="14.42578125" style="46" bestFit="1" customWidth="1"/>
    <col min="9226" max="9226" width="8.5703125" style="46" customWidth="1"/>
    <col min="9227" max="9227" width="13.5703125" style="46" bestFit="1" customWidth="1"/>
    <col min="9228" max="9228" width="8.5703125" style="46" customWidth="1"/>
    <col min="9229" max="9229" width="14.42578125" style="46" bestFit="1" customWidth="1"/>
    <col min="9230" max="9230" width="13.140625" style="46" bestFit="1" customWidth="1"/>
    <col min="9231" max="9231" width="14.42578125" style="46" bestFit="1" customWidth="1"/>
    <col min="9232" max="9233" width="8.5703125" style="46" customWidth="1"/>
    <col min="9234" max="9234" width="13.5703125" style="46" bestFit="1" customWidth="1"/>
    <col min="9235" max="9235" width="8.5703125" style="46" customWidth="1"/>
    <col min="9236" max="9236" width="13.5703125" style="46" bestFit="1" customWidth="1"/>
    <col min="9237" max="9239" width="8.5703125" style="46" customWidth="1"/>
    <col min="9240" max="9240" width="13.5703125" style="46" bestFit="1" customWidth="1"/>
    <col min="9241" max="9241" width="8.5703125" style="46" customWidth="1"/>
    <col min="9242" max="9242" width="14.42578125" style="46" bestFit="1" customWidth="1"/>
    <col min="9243" max="9243" width="13.5703125" style="46" bestFit="1" customWidth="1"/>
    <col min="9244" max="9245" width="8.5703125" style="46" customWidth="1"/>
    <col min="9246" max="9246" width="14.42578125" style="46" bestFit="1" customWidth="1"/>
    <col min="9247" max="9247" width="8.5703125" style="46" customWidth="1"/>
    <col min="9248" max="9248" width="13.5703125" style="46" bestFit="1" customWidth="1"/>
    <col min="9249" max="9253" width="8.5703125" style="46" customWidth="1"/>
    <col min="9254" max="9254" width="13.5703125" style="46" bestFit="1" customWidth="1"/>
    <col min="9255" max="9257" width="8.5703125" style="46" customWidth="1"/>
    <col min="9258" max="9258" width="13.5703125" style="46" bestFit="1" customWidth="1"/>
    <col min="9259" max="9259" width="14.42578125" style="46" customWidth="1"/>
    <col min="9260" max="9472" width="11.42578125" style="46"/>
    <col min="9473" max="9473" width="4.5703125" style="46" customWidth="1"/>
    <col min="9474" max="9474" width="7.42578125" style="46" customWidth="1"/>
    <col min="9475" max="9475" width="60.42578125" style="46" customWidth="1"/>
    <col min="9476" max="9476" width="9.5703125" style="46" customWidth="1"/>
    <col min="9477" max="9477" width="8.5703125" style="46" customWidth="1"/>
    <col min="9478" max="9478" width="13.5703125" style="46" bestFit="1" customWidth="1"/>
    <col min="9479" max="9479" width="8.5703125" style="46" customWidth="1"/>
    <col min="9480" max="9480" width="11.42578125" style="46" customWidth="1"/>
    <col min="9481" max="9481" width="14.42578125" style="46" bestFit="1" customWidth="1"/>
    <col min="9482" max="9482" width="8.5703125" style="46" customWidth="1"/>
    <col min="9483" max="9483" width="13.5703125" style="46" bestFit="1" customWidth="1"/>
    <col min="9484" max="9484" width="8.5703125" style="46" customWidth="1"/>
    <col min="9485" max="9485" width="14.42578125" style="46" bestFit="1" customWidth="1"/>
    <col min="9486" max="9486" width="13.140625" style="46" bestFit="1" customWidth="1"/>
    <col min="9487" max="9487" width="14.42578125" style="46" bestFit="1" customWidth="1"/>
    <col min="9488" max="9489" width="8.5703125" style="46" customWidth="1"/>
    <col min="9490" max="9490" width="13.5703125" style="46" bestFit="1" customWidth="1"/>
    <col min="9491" max="9491" width="8.5703125" style="46" customWidth="1"/>
    <col min="9492" max="9492" width="13.5703125" style="46" bestFit="1" customWidth="1"/>
    <col min="9493" max="9495" width="8.5703125" style="46" customWidth="1"/>
    <col min="9496" max="9496" width="13.5703125" style="46" bestFit="1" customWidth="1"/>
    <col min="9497" max="9497" width="8.5703125" style="46" customWidth="1"/>
    <col min="9498" max="9498" width="14.42578125" style="46" bestFit="1" customWidth="1"/>
    <col min="9499" max="9499" width="13.5703125" style="46" bestFit="1" customWidth="1"/>
    <col min="9500" max="9501" width="8.5703125" style="46" customWidth="1"/>
    <col min="9502" max="9502" width="14.42578125" style="46" bestFit="1" customWidth="1"/>
    <col min="9503" max="9503" width="8.5703125" style="46" customWidth="1"/>
    <col min="9504" max="9504" width="13.5703125" style="46" bestFit="1" customWidth="1"/>
    <col min="9505" max="9509" width="8.5703125" style="46" customWidth="1"/>
    <col min="9510" max="9510" width="13.5703125" style="46" bestFit="1" customWidth="1"/>
    <col min="9511" max="9513" width="8.5703125" style="46" customWidth="1"/>
    <col min="9514" max="9514" width="13.5703125" style="46" bestFit="1" customWidth="1"/>
    <col min="9515" max="9515" width="14.42578125" style="46" customWidth="1"/>
    <col min="9516" max="9728" width="11.42578125" style="46"/>
    <col min="9729" max="9729" width="4.5703125" style="46" customWidth="1"/>
    <col min="9730" max="9730" width="7.42578125" style="46" customWidth="1"/>
    <col min="9731" max="9731" width="60.42578125" style="46" customWidth="1"/>
    <col min="9732" max="9732" width="9.5703125" style="46" customWidth="1"/>
    <col min="9733" max="9733" width="8.5703125" style="46" customWidth="1"/>
    <col min="9734" max="9734" width="13.5703125" style="46" bestFit="1" customWidth="1"/>
    <col min="9735" max="9735" width="8.5703125" style="46" customWidth="1"/>
    <col min="9736" max="9736" width="11.42578125" style="46" customWidth="1"/>
    <col min="9737" max="9737" width="14.42578125" style="46" bestFit="1" customWidth="1"/>
    <col min="9738" max="9738" width="8.5703125" style="46" customWidth="1"/>
    <col min="9739" max="9739" width="13.5703125" style="46" bestFit="1" customWidth="1"/>
    <col min="9740" max="9740" width="8.5703125" style="46" customWidth="1"/>
    <col min="9741" max="9741" width="14.42578125" style="46" bestFit="1" customWidth="1"/>
    <col min="9742" max="9742" width="13.140625" style="46" bestFit="1" customWidth="1"/>
    <col min="9743" max="9743" width="14.42578125" style="46" bestFit="1" customWidth="1"/>
    <col min="9744" max="9745" width="8.5703125" style="46" customWidth="1"/>
    <col min="9746" max="9746" width="13.5703125" style="46" bestFit="1" customWidth="1"/>
    <col min="9747" max="9747" width="8.5703125" style="46" customWidth="1"/>
    <col min="9748" max="9748" width="13.5703125" style="46" bestFit="1" customWidth="1"/>
    <col min="9749" max="9751" width="8.5703125" style="46" customWidth="1"/>
    <col min="9752" max="9752" width="13.5703125" style="46" bestFit="1" customWidth="1"/>
    <col min="9753" max="9753" width="8.5703125" style="46" customWidth="1"/>
    <col min="9754" max="9754" width="14.42578125" style="46" bestFit="1" customWidth="1"/>
    <col min="9755" max="9755" width="13.5703125" style="46" bestFit="1" customWidth="1"/>
    <col min="9756" max="9757" width="8.5703125" style="46" customWidth="1"/>
    <col min="9758" max="9758" width="14.42578125" style="46" bestFit="1" customWidth="1"/>
    <col min="9759" max="9759" width="8.5703125" style="46" customWidth="1"/>
    <col min="9760" max="9760" width="13.5703125" style="46" bestFit="1" customWidth="1"/>
    <col min="9761" max="9765" width="8.5703125" style="46" customWidth="1"/>
    <col min="9766" max="9766" width="13.5703125" style="46" bestFit="1" customWidth="1"/>
    <col min="9767" max="9769" width="8.5703125" style="46" customWidth="1"/>
    <col min="9770" max="9770" width="13.5703125" style="46" bestFit="1" customWidth="1"/>
    <col min="9771" max="9771" width="14.42578125" style="46" customWidth="1"/>
    <col min="9772" max="9984" width="11.42578125" style="46"/>
    <col min="9985" max="9985" width="4.5703125" style="46" customWidth="1"/>
    <col min="9986" max="9986" width="7.42578125" style="46" customWidth="1"/>
    <col min="9987" max="9987" width="60.42578125" style="46" customWidth="1"/>
    <col min="9988" max="9988" width="9.5703125" style="46" customWidth="1"/>
    <col min="9989" max="9989" width="8.5703125" style="46" customWidth="1"/>
    <col min="9990" max="9990" width="13.5703125" style="46" bestFit="1" customWidth="1"/>
    <col min="9991" max="9991" width="8.5703125" style="46" customWidth="1"/>
    <col min="9992" max="9992" width="11.42578125" style="46" customWidth="1"/>
    <col min="9993" max="9993" width="14.42578125" style="46" bestFit="1" customWidth="1"/>
    <col min="9994" max="9994" width="8.5703125" style="46" customWidth="1"/>
    <col min="9995" max="9995" width="13.5703125" style="46" bestFit="1" customWidth="1"/>
    <col min="9996" max="9996" width="8.5703125" style="46" customWidth="1"/>
    <col min="9997" max="9997" width="14.42578125" style="46" bestFit="1" customWidth="1"/>
    <col min="9998" max="9998" width="13.140625" style="46" bestFit="1" customWidth="1"/>
    <col min="9999" max="9999" width="14.42578125" style="46" bestFit="1" customWidth="1"/>
    <col min="10000" max="10001" width="8.5703125" style="46" customWidth="1"/>
    <col min="10002" max="10002" width="13.5703125" style="46" bestFit="1" customWidth="1"/>
    <col min="10003" max="10003" width="8.5703125" style="46" customWidth="1"/>
    <col min="10004" max="10004" width="13.5703125" style="46" bestFit="1" customWidth="1"/>
    <col min="10005" max="10007" width="8.5703125" style="46" customWidth="1"/>
    <col min="10008" max="10008" width="13.5703125" style="46" bestFit="1" customWidth="1"/>
    <col min="10009" max="10009" width="8.5703125" style="46" customWidth="1"/>
    <col min="10010" max="10010" width="14.42578125" style="46" bestFit="1" customWidth="1"/>
    <col min="10011" max="10011" width="13.5703125" style="46" bestFit="1" customWidth="1"/>
    <col min="10012" max="10013" width="8.5703125" style="46" customWidth="1"/>
    <col min="10014" max="10014" width="14.42578125" style="46" bestFit="1" customWidth="1"/>
    <col min="10015" max="10015" width="8.5703125" style="46" customWidth="1"/>
    <col min="10016" max="10016" width="13.5703125" style="46" bestFit="1" customWidth="1"/>
    <col min="10017" max="10021" width="8.5703125" style="46" customWidth="1"/>
    <col min="10022" max="10022" width="13.5703125" style="46" bestFit="1" customWidth="1"/>
    <col min="10023" max="10025" width="8.5703125" style="46" customWidth="1"/>
    <col min="10026" max="10026" width="13.5703125" style="46" bestFit="1" customWidth="1"/>
    <col min="10027" max="10027" width="14.42578125" style="46" customWidth="1"/>
    <col min="10028" max="10240" width="11.42578125" style="46"/>
    <col min="10241" max="10241" width="4.5703125" style="46" customWidth="1"/>
    <col min="10242" max="10242" width="7.42578125" style="46" customWidth="1"/>
    <col min="10243" max="10243" width="60.42578125" style="46" customWidth="1"/>
    <col min="10244" max="10244" width="9.5703125" style="46" customWidth="1"/>
    <col min="10245" max="10245" width="8.5703125" style="46" customWidth="1"/>
    <col min="10246" max="10246" width="13.5703125" style="46" bestFit="1" customWidth="1"/>
    <col min="10247" max="10247" width="8.5703125" style="46" customWidth="1"/>
    <col min="10248" max="10248" width="11.42578125" style="46" customWidth="1"/>
    <col min="10249" max="10249" width="14.42578125" style="46" bestFit="1" customWidth="1"/>
    <col min="10250" max="10250" width="8.5703125" style="46" customWidth="1"/>
    <col min="10251" max="10251" width="13.5703125" style="46" bestFit="1" customWidth="1"/>
    <col min="10252" max="10252" width="8.5703125" style="46" customWidth="1"/>
    <col min="10253" max="10253" width="14.42578125" style="46" bestFit="1" customWidth="1"/>
    <col min="10254" max="10254" width="13.140625" style="46" bestFit="1" customWidth="1"/>
    <col min="10255" max="10255" width="14.42578125" style="46" bestFit="1" customWidth="1"/>
    <col min="10256" max="10257" width="8.5703125" style="46" customWidth="1"/>
    <col min="10258" max="10258" width="13.5703125" style="46" bestFit="1" customWidth="1"/>
    <col min="10259" max="10259" width="8.5703125" style="46" customWidth="1"/>
    <col min="10260" max="10260" width="13.5703125" style="46" bestFit="1" customWidth="1"/>
    <col min="10261" max="10263" width="8.5703125" style="46" customWidth="1"/>
    <col min="10264" max="10264" width="13.5703125" style="46" bestFit="1" customWidth="1"/>
    <col min="10265" max="10265" width="8.5703125" style="46" customWidth="1"/>
    <col min="10266" max="10266" width="14.42578125" style="46" bestFit="1" customWidth="1"/>
    <col min="10267" max="10267" width="13.5703125" style="46" bestFit="1" customWidth="1"/>
    <col min="10268" max="10269" width="8.5703125" style="46" customWidth="1"/>
    <col min="10270" max="10270" width="14.42578125" style="46" bestFit="1" customWidth="1"/>
    <col min="10271" max="10271" width="8.5703125" style="46" customWidth="1"/>
    <col min="10272" max="10272" width="13.5703125" style="46" bestFit="1" customWidth="1"/>
    <col min="10273" max="10277" width="8.5703125" style="46" customWidth="1"/>
    <col min="10278" max="10278" width="13.5703125" style="46" bestFit="1" customWidth="1"/>
    <col min="10279" max="10281" width="8.5703125" style="46" customWidth="1"/>
    <col min="10282" max="10282" width="13.5703125" style="46" bestFit="1" customWidth="1"/>
    <col min="10283" max="10283" width="14.42578125" style="46" customWidth="1"/>
    <col min="10284" max="10496" width="11.42578125" style="46"/>
    <col min="10497" max="10497" width="4.5703125" style="46" customWidth="1"/>
    <col min="10498" max="10498" width="7.42578125" style="46" customWidth="1"/>
    <col min="10499" max="10499" width="60.42578125" style="46" customWidth="1"/>
    <col min="10500" max="10500" width="9.5703125" style="46" customWidth="1"/>
    <col min="10501" max="10501" width="8.5703125" style="46" customWidth="1"/>
    <col min="10502" max="10502" width="13.5703125" style="46" bestFit="1" customWidth="1"/>
    <col min="10503" max="10503" width="8.5703125" style="46" customWidth="1"/>
    <col min="10504" max="10504" width="11.42578125" style="46" customWidth="1"/>
    <col min="10505" max="10505" width="14.42578125" style="46" bestFit="1" customWidth="1"/>
    <col min="10506" max="10506" width="8.5703125" style="46" customWidth="1"/>
    <col min="10507" max="10507" width="13.5703125" style="46" bestFit="1" customWidth="1"/>
    <col min="10508" max="10508" width="8.5703125" style="46" customWidth="1"/>
    <col min="10509" max="10509" width="14.42578125" style="46" bestFit="1" customWidth="1"/>
    <col min="10510" max="10510" width="13.140625" style="46" bestFit="1" customWidth="1"/>
    <col min="10511" max="10511" width="14.42578125" style="46" bestFit="1" customWidth="1"/>
    <col min="10512" max="10513" width="8.5703125" style="46" customWidth="1"/>
    <col min="10514" max="10514" width="13.5703125" style="46" bestFit="1" customWidth="1"/>
    <col min="10515" max="10515" width="8.5703125" style="46" customWidth="1"/>
    <col min="10516" max="10516" width="13.5703125" style="46" bestFit="1" customWidth="1"/>
    <col min="10517" max="10519" width="8.5703125" style="46" customWidth="1"/>
    <col min="10520" max="10520" width="13.5703125" style="46" bestFit="1" customWidth="1"/>
    <col min="10521" max="10521" width="8.5703125" style="46" customWidth="1"/>
    <col min="10522" max="10522" width="14.42578125" style="46" bestFit="1" customWidth="1"/>
    <col min="10523" max="10523" width="13.5703125" style="46" bestFit="1" customWidth="1"/>
    <col min="10524" max="10525" width="8.5703125" style="46" customWidth="1"/>
    <col min="10526" max="10526" width="14.42578125" style="46" bestFit="1" customWidth="1"/>
    <col min="10527" max="10527" width="8.5703125" style="46" customWidth="1"/>
    <col min="10528" max="10528" width="13.5703125" style="46" bestFit="1" customWidth="1"/>
    <col min="10529" max="10533" width="8.5703125" style="46" customWidth="1"/>
    <col min="10534" max="10534" width="13.5703125" style="46" bestFit="1" customWidth="1"/>
    <col min="10535" max="10537" width="8.5703125" style="46" customWidth="1"/>
    <col min="10538" max="10538" width="13.5703125" style="46" bestFit="1" customWidth="1"/>
    <col min="10539" max="10539" width="14.42578125" style="46" customWidth="1"/>
    <col min="10540" max="10752" width="11.42578125" style="46"/>
    <col min="10753" max="10753" width="4.5703125" style="46" customWidth="1"/>
    <col min="10754" max="10754" width="7.42578125" style="46" customWidth="1"/>
    <col min="10755" max="10755" width="60.42578125" style="46" customWidth="1"/>
    <col min="10756" max="10756" width="9.5703125" style="46" customWidth="1"/>
    <col min="10757" max="10757" width="8.5703125" style="46" customWidth="1"/>
    <col min="10758" max="10758" width="13.5703125" style="46" bestFit="1" customWidth="1"/>
    <col min="10759" max="10759" width="8.5703125" style="46" customWidth="1"/>
    <col min="10760" max="10760" width="11.42578125" style="46" customWidth="1"/>
    <col min="10761" max="10761" width="14.42578125" style="46" bestFit="1" customWidth="1"/>
    <col min="10762" max="10762" width="8.5703125" style="46" customWidth="1"/>
    <col min="10763" max="10763" width="13.5703125" style="46" bestFit="1" customWidth="1"/>
    <col min="10764" max="10764" width="8.5703125" style="46" customWidth="1"/>
    <col min="10765" max="10765" width="14.42578125" style="46" bestFit="1" customWidth="1"/>
    <col min="10766" max="10766" width="13.140625" style="46" bestFit="1" customWidth="1"/>
    <col min="10767" max="10767" width="14.42578125" style="46" bestFit="1" customWidth="1"/>
    <col min="10768" max="10769" width="8.5703125" style="46" customWidth="1"/>
    <col min="10770" max="10770" width="13.5703125" style="46" bestFit="1" customWidth="1"/>
    <col min="10771" max="10771" width="8.5703125" style="46" customWidth="1"/>
    <col min="10772" max="10772" width="13.5703125" style="46" bestFit="1" customWidth="1"/>
    <col min="10773" max="10775" width="8.5703125" style="46" customWidth="1"/>
    <col min="10776" max="10776" width="13.5703125" style="46" bestFit="1" customWidth="1"/>
    <col min="10777" max="10777" width="8.5703125" style="46" customWidth="1"/>
    <col min="10778" max="10778" width="14.42578125" style="46" bestFit="1" customWidth="1"/>
    <col min="10779" max="10779" width="13.5703125" style="46" bestFit="1" customWidth="1"/>
    <col min="10780" max="10781" width="8.5703125" style="46" customWidth="1"/>
    <col min="10782" max="10782" width="14.42578125" style="46" bestFit="1" customWidth="1"/>
    <col min="10783" max="10783" width="8.5703125" style="46" customWidth="1"/>
    <col min="10784" max="10784" width="13.5703125" style="46" bestFit="1" customWidth="1"/>
    <col min="10785" max="10789" width="8.5703125" style="46" customWidth="1"/>
    <col min="10790" max="10790" width="13.5703125" style="46" bestFit="1" customWidth="1"/>
    <col min="10791" max="10793" width="8.5703125" style="46" customWidth="1"/>
    <col min="10794" max="10794" width="13.5703125" style="46" bestFit="1" customWidth="1"/>
    <col min="10795" max="10795" width="14.42578125" style="46" customWidth="1"/>
    <col min="10796" max="11008" width="11.42578125" style="46"/>
    <col min="11009" max="11009" width="4.5703125" style="46" customWidth="1"/>
    <col min="11010" max="11010" width="7.42578125" style="46" customWidth="1"/>
    <col min="11011" max="11011" width="60.42578125" style="46" customWidth="1"/>
    <col min="11012" max="11012" width="9.5703125" style="46" customWidth="1"/>
    <col min="11013" max="11013" width="8.5703125" style="46" customWidth="1"/>
    <col min="11014" max="11014" width="13.5703125" style="46" bestFit="1" customWidth="1"/>
    <col min="11015" max="11015" width="8.5703125" style="46" customWidth="1"/>
    <col min="11016" max="11016" width="11.42578125" style="46" customWidth="1"/>
    <col min="11017" max="11017" width="14.42578125" style="46" bestFit="1" customWidth="1"/>
    <col min="11018" max="11018" width="8.5703125" style="46" customWidth="1"/>
    <col min="11019" max="11019" width="13.5703125" style="46" bestFit="1" customWidth="1"/>
    <col min="11020" max="11020" width="8.5703125" style="46" customWidth="1"/>
    <col min="11021" max="11021" width="14.42578125" style="46" bestFit="1" customWidth="1"/>
    <col min="11022" max="11022" width="13.140625" style="46" bestFit="1" customWidth="1"/>
    <col min="11023" max="11023" width="14.42578125" style="46" bestFit="1" customWidth="1"/>
    <col min="11024" max="11025" width="8.5703125" style="46" customWidth="1"/>
    <col min="11026" max="11026" width="13.5703125" style="46" bestFit="1" customWidth="1"/>
    <col min="11027" max="11027" width="8.5703125" style="46" customWidth="1"/>
    <col min="11028" max="11028" width="13.5703125" style="46" bestFit="1" customWidth="1"/>
    <col min="11029" max="11031" width="8.5703125" style="46" customWidth="1"/>
    <col min="11032" max="11032" width="13.5703125" style="46" bestFit="1" customWidth="1"/>
    <col min="11033" max="11033" width="8.5703125" style="46" customWidth="1"/>
    <col min="11034" max="11034" width="14.42578125" style="46" bestFit="1" customWidth="1"/>
    <col min="11035" max="11035" width="13.5703125" style="46" bestFit="1" customWidth="1"/>
    <col min="11036" max="11037" width="8.5703125" style="46" customWidth="1"/>
    <col min="11038" max="11038" width="14.42578125" style="46" bestFit="1" customWidth="1"/>
    <col min="11039" max="11039" width="8.5703125" style="46" customWidth="1"/>
    <col min="11040" max="11040" width="13.5703125" style="46" bestFit="1" customWidth="1"/>
    <col min="11041" max="11045" width="8.5703125" style="46" customWidth="1"/>
    <col min="11046" max="11046" width="13.5703125" style="46" bestFit="1" customWidth="1"/>
    <col min="11047" max="11049" width="8.5703125" style="46" customWidth="1"/>
    <col min="11050" max="11050" width="13.5703125" style="46" bestFit="1" customWidth="1"/>
    <col min="11051" max="11051" width="14.42578125" style="46" customWidth="1"/>
    <col min="11052" max="11264" width="11.42578125" style="46"/>
    <col min="11265" max="11265" width="4.5703125" style="46" customWidth="1"/>
    <col min="11266" max="11266" width="7.42578125" style="46" customWidth="1"/>
    <col min="11267" max="11267" width="60.42578125" style="46" customWidth="1"/>
    <col min="11268" max="11268" width="9.5703125" style="46" customWidth="1"/>
    <col min="11269" max="11269" width="8.5703125" style="46" customWidth="1"/>
    <col min="11270" max="11270" width="13.5703125" style="46" bestFit="1" customWidth="1"/>
    <col min="11271" max="11271" width="8.5703125" style="46" customWidth="1"/>
    <col min="11272" max="11272" width="11.42578125" style="46" customWidth="1"/>
    <col min="11273" max="11273" width="14.42578125" style="46" bestFit="1" customWidth="1"/>
    <col min="11274" max="11274" width="8.5703125" style="46" customWidth="1"/>
    <col min="11275" max="11275" width="13.5703125" style="46" bestFit="1" customWidth="1"/>
    <col min="11276" max="11276" width="8.5703125" style="46" customWidth="1"/>
    <col min="11277" max="11277" width="14.42578125" style="46" bestFit="1" customWidth="1"/>
    <col min="11278" max="11278" width="13.140625" style="46" bestFit="1" customWidth="1"/>
    <col min="11279" max="11279" width="14.42578125" style="46" bestFit="1" customWidth="1"/>
    <col min="11280" max="11281" width="8.5703125" style="46" customWidth="1"/>
    <col min="11282" max="11282" width="13.5703125" style="46" bestFit="1" customWidth="1"/>
    <col min="11283" max="11283" width="8.5703125" style="46" customWidth="1"/>
    <col min="11284" max="11284" width="13.5703125" style="46" bestFit="1" customWidth="1"/>
    <col min="11285" max="11287" width="8.5703125" style="46" customWidth="1"/>
    <col min="11288" max="11288" width="13.5703125" style="46" bestFit="1" customWidth="1"/>
    <col min="11289" max="11289" width="8.5703125" style="46" customWidth="1"/>
    <col min="11290" max="11290" width="14.42578125" style="46" bestFit="1" customWidth="1"/>
    <col min="11291" max="11291" width="13.5703125" style="46" bestFit="1" customWidth="1"/>
    <col min="11292" max="11293" width="8.5703125" style="46" customWidth="1"/>
    <col min="11294" max="11294" width="14.42578125" style="46" bestFit="1" customWidth="1"/>
    <col min="11295" max="11295" width="8.5703125" style="46" customWidth="1"/>
    <col min="11296" max="11296" width="13.5703125" style="46" bestFit="1" customWidth="1"/>
    <col min="11297" max="11301" width="8.5703125" style="46" customWidth="1"/>
    <col min="11302" max="11302" width="13.5703125" style="46" bestFit="1" customWidth="1"/>
    <col min="11303" max="11305" width="8.5703125" style="46" customWidth="1"/>
    <col min="11306" max="11306" width="13.5703125" style="46" bestFit="1" customWidth="1"/>
    <col min="11307" max="11307" width="14.42578125" style="46" customWidth="1"/>
    <col min="11308" max="11520" width="11.42578125" style="46"/>
    <col min="11521" max="11521" width="4.5703125" style="46" customWidth="1"/>
    <col min="11522" max="11522" width="7.42578125" style="46" customWidth="1"/>
    <col min="11523" max="11523" width="60.42578125" style="46" customWidth="1"/>
    <col min="11524" max="11524" width="9.5703125" style="46" customWidth="1"/>
    <col min="11525" max="11525" width="8.5703125" style="46" customWidth="1"/>
    <col min="11526" max="11526" width="13.5703125" style="46" bestFit="1" customWidth="1"/>
    <col min="11527" max="11527" width="8.5703125" style="46" customWidth="1"/>
    <col min="11528" max="11528" width="11.42578125" style="46" customWidth="1"/>
    <col min="11529" max="11529" width="14.42578125" style="46" bestFit="1" customWidth="1"/>
    <col min="11530" max="11530" width="8.5703125" style="46" customWidth="1"/>
    <col min="11531" max="11531" width="13.5703125" style="46" bestFit="1" customWidth="1"/>
    <col min="11532" max="11532" width="8.5703125" style="46" customWidth="1"/>
    <col min="11533" max="11533" width="14.42578125" style="46" bestFit="1" customWidth="1"/>
    <col min="11534" max="11534" width="13.140625" style="46" bestFit="1" customWidth="1"/>
    <col min="11535" max="11535" width="14.42578125" style="46" bestFit="1" customWidth="1"/>
    <col min="11536" max="11537" width="8.5703125" style="46" customWidth="1"/>
    <col min="11538" max="11538" width="13.5703125" style="46" bestFit="1" customWidth="1"/>
    <col min="11539" max="11539" width="8.5703125" style="46" customWidth="1"/>
    <col min="11540" max="11540" width="13.5703125" style="46" bestFit="1" customWidth="1"/>
    <col min="11541" max="11543" width="8.5703125" style="46" customWidth="1"/>
    <col min="11544" max="11544" width="13.5703125" style="46" bestFit="1" customWidth="1"/>
    <col min="11545" max="11545" width="8.5703125" style="46" customWidth="1"/>
    <col min="11546" max="11546" width="14.42578125" style="46" bestFit="1" customWidth="1"/>
    <col min="11547" max="11547" width="13.5703125" style="46" bestFit="1" customWidth="1"/>
    <col min="11548" max="11549" width="8.5703125" style="46" customWidth="1"/>
    <col min="11550" max="11550" width="14.42578125" style="46" bestFit="1" customWidth="1"/>
    <col min="11551" max="11551" width="8.5703125" style="46" customWidth="1"/>
    <col min="11552" max="11552" width="13.5703125" style="46" bestFit="1" customWidth="1"/>
    <col min="11553" max="11557" width="8.5703125" style="46" customWidth="1"/>
    <col min="11558" max="11558" width="13.5703125" style="46" bestFit="1" customWidth="1"/>
    <col min="11559" max="11561" width="8.5703125" style="46" customWidth="1"/>
    <col min="11562" max="11562" width="13.5703125" style="46" bestFit="1" customWidth="1"/>
    <col min="11563" max="11563" width="14.42578125" style="46" customWidth="1"/>
    <col min="11564" max="11776" width="11.42578125" style="46"/>
    <col min="11777" max="11777" width="4.5703125" style="46" customWidth="1"/>
    <col min="11778" max="11778" width="7.42578125" style="46" customWidth="1"/>
    <col min="11779" max="11779" width="60.42578125" style="46" customWidth="1"/>
    <col min="11780" max="11780" width="9.5703125" style="46" customWidth="1"/>
    <col min="11781" max="11781" width="8.5703125" style="46" customWidth="1"/>
    <col min="11782" max="11782" width="13.5703125" style="46" bestFit="1" customWidth="1"/>
    <col min="11783" max="11783" width="8.5703125" style="46" customWidth="1"/>
    <col min="11784" max="11784" width="11.42578125" style="46" customWidth="1"/>
    <col min="11785" max="11785" width="14.42578125" style="46" bestFit="1" customWidth="1"/>
    <col min="11786" max="11786" width="8.5703125" style="46" customWidth="1"/>
    <col min="11787" max="11787" width="13.5703125" style="46" bestFit="1" customWidth="1"/>
    <col min="11788" max="11788" width="8.5703125" style="46" customWidth="1"/>
    <col min="11789" max="11789" width="14.42578125" style="46" bestFit="1" customWidth="1"/>
    <col min="11790" max="11790" width="13.140625" style="46" bestFit="1" customWidth="1"/>
    <col min="11791" max="11791" width="14.42578125" style="46" bestFit="1" customWidth="1"/>
    <col min="11792" max="11793" width="8.5703125" style="46" customWidth="1"/>
    <col min="11794" max="11794" width="13.5703125" style="46" bestFit="1" customWidth="1"/>
    <col min="11795" max="11795" width="8.5703125" style="46" customWidth="1"/>
    <col min="11796" max="11796" width="13.5703125" style="46" bestFit="1" customWidth="1"/>
    <col min="11797" max="11799" width="8.5703125" style="46" customWidth="1"/>
    <col min="11800" max="11800" width="13.5703125" style="46" bestFit="1" customWidth="1"/>
    <col min="11801" max="11801" width="8.5703125" style="46" customWidth="1"/>
    <col min="11802" max="11802" width="14.42578125" style="46" bestFit="1" customWidth="1"/>
    <col min="11803" max="11803" width="13.5703125" style="46" bestFit="1" customWidth="1"/>
    <col min="11804" max="11805" width="8.5703125" style="46" customWidth="1"/>
    <col min="11806" max="11806" width="14.42578125" style="46" bestFit="1" customWidth="1"/>
    <col min="11807" max="11807" width="8.5703125" style="46" customWidth="1"/>
    <col min="11808" max="11808" width="13.5703125" style="46" bestFit="1" customWidth="1"/>
    <col min="11809" max="11813" width="8.5703125" style="46" customWidth="1"/>
    <col min="11814" max="11814" width="13.5703125" style="46" bestFit="1" customWidth="1"/>
    <col min="11815" max="11817" width="8.5703125" style="46" customWidth="1"/>
    <col min="11818" max="11818" width="13.5703125" style="46" bestFit="1" customWidth="1"/>
    <col min="11819" max="11819" width="14.42578125" style="46" customWidth="1"/>
    <col min="11820" max="12032" width="11.42578125" style="46"/>
    <col min="12033" max="12033" width="4.5703125" style="46" customWidth="1"/>
    <col min="12034" max="12034" width="7.42578125" style="46" customWidth="1"/>
    <col min="12035" max="12035" width="60.42578125" style="46" customWidth="1"/>
    <col min="12036" max="12036" width="9.5703125" style="46" customWidth="1"/>
    <col min="12037" max="12037" width="8.5703125" style="46" customWidth="1"/>
    <col min="12038" max="12038" width="13.5703125" style="46" bestFit="1" customWidth="1"/>
    <col min="12039" max="12039" width="8.5703125" style="46" customWidth="1"/>
    <col min="12040" max="12040" width="11.42578125" style="46" customWidth="1"/>
    <col min="12041" max="12041" width="14.42578125" style="46" bestFit="1" customWidth="1"/>
    <col min="12042" max="12042" width="8.5703125" style="46" customWidth="1"/>
    <col min="12043" max="12043" width="13.5703125" style="46" bestFit="1" customWidth="1"/>
    <col min="12044" max="12044" width="8.5703125" style="46" customWidth="1"/>
    <col min="12045" max="12045" width="14.42578125" style="46" bestFit="1" customWidth="1"/>
    <col min="12046" max="12046" width="13.140625" style="46" bestFit="1" customWidth="1"/>
    <col min="12047" max="12047" width="14.42578125" style="46" bestFit="1" customWidth="1"/>
    <col min="12048" max="12049" width="8.5703125" style="46" customWidth="1"/>
    <col min="12050" max="12050" width="13.5703125" style="46" bestFit="1" customWidth="1"/>
    <col min="12051" max="12051" width="8.5703125" style="46" customWidth="1"/>
    <col min="12052" max="12052" width="13.5703125" style="46" bestFit="1" customWidth="1"/>
    <col min="12053" max="12055" width="8.5703125" style="46" customWidth="1"/>
    <col min="12056" max="12056" width="13.5703125" style="46" bestFit="1" customWidth="1"/>
    <col min="12057" max="12057" width="8.5703125" style="46" customWidth="1"/>
    <col min="12058" max="12058" width="14.42578125" style="46" bestFit="1" customWidth="1"/>
    <col min="12059" max="12059" width="13.5703125" style="46" bestFit="1" customWidth="1"/>
    <col min="12060" max="12061" width="8.5703125" style="46" customWidth="1"/>
    <col min="12062" max="12062" width="14.42578125" style="46" bestFit="1" customWidth="1"/>
    <col min="12063" max="12063" width="8.5703125" style="46" customWidth="1"/>
    <col min="12064" max="12064" width="13.5703125" style="46" bestFit="1" customWidth="1"/>
    <col min="12065" max="12069" width="8.5703125" style="46" customWidth="1"/>
    <col min="12070" max="12070" width="13.5703125" style="46" bestFit="1" customWidth="1"/>
    <col min="12071" max="12073" width="8.5703125" style="46" customWidth="1"/>
    <col min="12074" max="12074" width="13.5703125" style="46" bestFit="1" customWidth="1"/>
    <col min="12075" max="12075" width="14.42578125" style="46" customWidth="1"/>
    <col min="12076" max="12288" width="11.42578125" style="46"/>
    <col min="12289" max="12289" width="4.5703125" style="46" customWidth="1"/>
    <col min="12290" max="12290" width="7.42578125" style="46" customWidth="1"/>
    <col min="12291" max="12291" width="60.42578125" style="46" customWidth="1"/>
    <col min="12292" max="12292" width="9.5703125" style="46" customWidth="1"/>
    <col min="12293" max="12293" width="8.5703125" style="46" customWidth="1"/>
    <col min="12294" max="12294" width="13.5703125" style="46" bestFit="1" customWidth="1"/>
    <col min="12295" max="12295" width="8.5703125" style="46" customWidth="1"/>
    <col min="12296" max="12296" width="11.42578125" style="46" customWidth="1"/>
    <col min="12297" max="12297" width="14.42578125" style="46" bestFit="1" customWidth="1"/>
    <col min="12298" max="12298" width="8.5703125" style="46" customWidth="1"/>
    <col min="12299" max="12299" width="13.5703125" style="46" bestFit="1" customWidth="1"/>
    <col min="12300" max="12300" width="8.5703125" style="46" customWidth="1"/>
    <col min="12301" max="12301" width="14.42578125" style="46" bestFit="1" customWidth="1"/>
    <col min="12302" max="12302" width="13.140625" style="46" bestFit="1" customWidth="1"/>
    <col min="12303" max="12303" width="14.42578125" style="46" bestFit="1" customWidth="1"/>
    <col min="12304" max="12305" width="8.5703125" style="46" customWidth="1"/>
    <col min="12306" max="12306" width="13.5703125" style="46" bestFit="1" customWidth="1"/>
    <col min="12307" max="12307" width="8.5703125" style="46" customWidth="1"/>
    <col min="12308" max="12308" width="13.5703125" style="46" bestFit="1" customWidth="1"/>
    <col min="12309" max="12311" width="8.5703125" style="46" customWidth="1"/>
    <col min="12312" max="12312" width="13.5703125" style="46" bestFit="1" customWidth="1"/>
    <col min="12313" max="12313" width="8.5703125" style="46" customWidth="1"/>
    <col min="12314" max="12314" width="14.42578125" style="46" bestFit="1" customWidth="1"/>
    <col min="12315" max="12315" width="13.5703125" style="46" bestFit="1" customWidth="1"/>
    <col min="12316" max="12317" width="8.5703125" style="46" customWidth="1"/>
    <col min="12318" max="12318" width="14.42578125" style="46" bestFit="1" customWidth="1"/>
    <col min="12319" max="12319" width="8.5703125" style="46" customWidth="1"/>
    <col min="12320" max="12320" width="13.5703125" style="46" bestFit="1" customWidth="1"/>
    <col min="12321" max="12325" width="8.5703125" style="46" customWidth="1"/>
    <col min="12326" max="12326" width="13.5703125" style="46" bestFit="1" customWidth="1"/>
    <col min="12327" max="12329" width="8.5703125" style="46" customWidth="1"/>
    <col min="12330" max="12330" width="13.5703125" style="46" bestFit="1" customWidth="1"/>
    <col min="12331" max="12331" width="14.42578125" style="46" customWidth="1"/>
    <col min="12332" max="12544" width="11.42578125" style="46"/>
    <col min="12545" max="12545" width="4.5703125" style="46" customWidth="1"/>
    <col min="12546" max="12546" width="7.42578125" style="46" customWidth="1"/>
    <col min="12547" max="12547" width="60.42578125" style="46" customWidth="1"/>
    <col min="12548" max="12548" width="9.5703125" style="46" customWidth="1"/>
    <col min="12549" max="12549" width="8.5703125" style="46" customWidth="1"/>
    <col min="12550" max="12550" width="13.5703125" style="46" bestFit="1" customWidth="1"/>
    <col min="12551" max="12551" width="8.5703125" style="46" customWidth="1"/>
    <col min="12552" max="12552" width="11.42578125" style="46" customWidth="1"/>
    <col min="12553" max="12553" width="14.42578125" style="46" bestFit="1" customWidth="1"/>
    <col min="12554" max="12554" width="8.5703125" style="46" customWidth="1"/>
    <col min="12555" max="12555" width="13.5703125" style="46" bestFit="1" customWidth="1"/>
    <col min="12556" max="12556" width="8.5703125" style="46" customWidth="1"/>
    <col min="12557" max="12557" width="14.42578125" style="46" bestFit="1" customWidth="1"/>
    <col min="12558" max="12558" width="13.140625" style="46" bestFit="1" customWidth="1"/>
    <col min="12559" max="12559" width="14.42578125" style="46" bestFit="1" customWidth="1"/>
    <col min="12560" max="12561" width="8.5703125" style="46" customWidth="1"/>
    <col min="12562" max="12562" width="13.5703125" style="46" bestFit="1" customWidth="1"/>
    <col min="12563" max="12563" width="8.5703125" style="46" customWidth="1"/>
    <col min="12564" max="12564" width="13.5703125" style="46" bestFit="1" customWidth="1"/>
    <col min="12565" max="12567" width="8.5703125" style="46" customWidth="1"/>
    <col min="12568" max="12568" width="13.5703125" style="46" bestFit="1" customWidth="1"/>
    <col min="12569" max="12569" width="8.5703125" style="46" customWidth="1"/>
    <col min="12570" max="12570" width="14.42578125" style="46" bestFit="1" customWidth="1"/>
    <col min="12571" max="12571" width="13.5703125" style="46" bestFit="1" customWidth="1"/>
    <col min="12572" max="12573" width="8.5703125" style="46" customWidth="1"/>
    <col min="12574" max="12574" width="14.42578125" style="46" bestFit="1" customWidth="1"/>
    <col min="12575" max="12575" width="8.5703125" style="46" customWidth="1"/>
    <col min="12576" max="12576" width="13.5703125" style="46" bestFit="1" customWidth="1"/>
    <col min="12577" max="12581" width="8.5703125" style="46" customWidth="1"/>
    <col min="12582" max="12582" width="13.5703125" style="46" bestFit="1" customWidth="1"/>
    <col min="12583" max="12585" width="8.5703125" style="46" customWidth="1"/>
    <col min="12586" max="12586" width="13.5703125" style="46" bestFit="1" customWidth="1"/>
    <col min="12587" max="12587" width="14.42578125" style="46" customWidth="1"/>
    <col min="12588" max="12800" width="11.42578125" style="46"/>
    <col min="12801" max="12801" width="4.5703125" style="46" customWidth="1"/>
    <col min="12802" max="12802" width="7.42578125" style="46" customWidth="1"/>
    <col min="12803" max="12803" width="60.42578125" style="46" customWidth="1"/>
    <col min="12804" max="12804" width="9.5703125" style="46" customWidth="1"/>
    <col min="12805" max="12805" width="8.5703125" style="46" customWidth="1"/>
    <col min="12806" max="12806" width="13.5703125" style="46" bestFit="1" customWidth="1"/>
    <col min="12807" max="12807" width="8.5703125" style="46" customWidth="1"/>
    <col min="12808" max="12808" width="11.42578125" style="46" customWidth="1"/>
    <col min="12809" max="12809" width="14.42578125" style="46" bestFit="1" customWidth="1"/>
    <col min="12810" max="12810" width="8.5703125" style="46" customWidth="1"/>
    <col min="12811" max="12811" width="13.5703125" style="46" bestFit="1" customWidth="1"/>
    <col min="12812" max="12812" width="8.5703125" style="46" customWidth="1"/>
    <col min="12813" max="12813" width="14.42578125" style="46" bestFit="1" customWidth="1"/>
    <col min="12814" max="12814" width="13.140625" style="46" bestFit="1" customWidth="1"/>
    <col min="12815" max="12815" width="14.42578125" style="46" bestFit="1" customWidth="1"/>
    <col min="12816" max="12817" width="8.5703125" style="46" customWidth="1"/>
    <col min="12818" max="12818" width="13.5703125" style="46" bestFit="1" customWidth="1"/>
    <col min="12819" max="12819" width="8.5703125" style="46" customWidth="1"/>
    <col min="12820" max="12820" width="13.5703125" style="46" bestFit="1" customWidth="1"/>
    <col min="12821" max="12823" width="8.5703125" style="46" customWidth="1"/>
    <col min="12824" max="12824" width="13.5703125" style="46" bestFit="1" customWidth="1"/>
    <col min="12825" max="12825" width="8.5703125" style="46" customWidth="1"/>
    <col min="12826" max="12826" width="14.42578125" style="46" bestFit="1" customWidth="1"/>
    <col min="12827" max="12827" width="13.5703125" style="46" bestFit="1" customWidth="1"/>
    <col min="12828" max="12829" width="8.5703125" style="46" customWidth="1"/>
    <col min="12830" max="12830" width="14.42578125" style="46" bestFit="1" customWidth="1"/>
    <col min="12831" max="12831" width="8.5703125" style="46" customWidth="1"/>
    <col min="12832" max="12832" width="13.5703125" style="46" bestFit="1" customWidth="1"/>
    <col min="12833" max="12837" width="8.5703125" style="46" customWidth="1"/>
    <col min="12838" max="12838" width="13.5703125" style="46" bestFit="1" customWidth="1"/>
    <col min="12839" max="12841" width="8.5703125" style="46" customWidth="1"/>
    <col min="12842" max="12842" width="13.5703125" style="46" bestFit="1" customWidth="1"/>
    <col min="12843" max="12843" width="14.42578125" style="46" customWidth="1"/>
    <col min="12844" max="13056" width="11.42578125" style="46"/>
    <col min="13057" max="13057" width="4.5703125" style="46" customWidth="1"/>
    <col min="13058" max="13058" width="7.42578125" style="46" customWidth="1"/>
    <col min="13059" max="13059" width="60.42578125" style="46" customWidth="1"/>
    <col min="13060" max="13060" width="9.5703125" style="46" customWidth="1"/>
    <col min="13061" max="13061" width="8.5703125" style="46" customWidth="1"/>
    <col min="13062" max="13062" width="13.5703125" style="46" bestFit="1" customWidth="1"/>
    <col min="13063" max="13063" width="8.5703125" style="46" customWidth="1"/>
    <col min="13064" max="13064" width="11.42578125" style="46" customWidth="1"/>
    <col min="13065" max="13065" width="14.42578125" style="46" bestFit="1" customWidth="1"/>
    <col min="13066" max="13066" width="8.5703125" style="46" customWidth="1"/>
    <col min="13067" max="13067" width="13.5703125" style="46" bestFit="1" customWidth="1"/>
    <col min="13068" max="13068" width="8.5703125" style="46" customWidth="1"/>
    <col min="13069" max="13069" width="14.42578125" style="46" bestFit="1" customWidth="1"/>
    <col min="13070" max="13070" width="13.140625" style="46" bestFit="1" customWidth="1"/>
    <col min="13071" max="13071" width="14.42578125" style="46" bestFit="1" customWidth="1"/>
    <col min="13072" max="13073" width="8.5703125" style="46" customWidth="1"/>
    <col min="13074" max="13074" width="13.5703125" style="46" bestFit="1" customWidth="1"/>
    <col min="13075" max="13075" width="8.5703125" style="46" customWidth="1"/>
    <col min="13076" max="13076" width="13.5703125" style="46" bestFit="1" customWidth="1"/>
    <col min="13077" max="13079" width="8.5703125" style="46" customWidth="1"/>
    <col min="13080" max="13080" width="13.5703125" style="46" bestFit="1" customWidth="1"/>
    <col min="13081" max="13081" width="8.5703125" style="46" customWidth="1"/>
    <col min="13082" max="13082" width="14.42578125" style="46" bestFit="1" customWidth="1"/>
    <col min="13083" max="13083" width="13.5703125" style="46" bestFit="1" customWidth="1"/>
    <col min="13084" max="13085" width="8.5703125" style="46" customWidth="1"/>
    <col min="13086" max="13086" width="14.42578125" style="46" bestFit="1" customWidth="1"/>
    <col min="13087" max="13087" width="8.5703125" style="46" customWidth="1"/>
    <col min="13088" max="13088" width="13.5703125" style="46" bestFit="1" customWidth="1"/>
    <col min="13089" max="13093" width="8.5703125" style="46" customWidth="1"/>
    <col min="13094" max="13094" width="13.5703125" style="46" bestFit="1" customWidth="1"/>
    <col min="13095" max="13097" width="8.5703125" style="46" customWidth="1"/>
    <col min="13098" max="13098" width="13.5703125" style="46" bestFit="1" customWidth="1"/>
    <col min="13099" max="13099" width="14.42578125" style="46" customWidth="1"/>
    <col min="13100" max="13312" width="11.42578125" style="46"/>
    <col min="13313" max="13313" width="4.5703125" style="46" customWidth="1"/>
    <col min="13314" max="13314" width="7.42578125" style="46" customWidth="1"/>
    <col min="13315" max="13315" width="60.42578125" style="46" customWidth="1"/>
    <col min="13316" max="13316" width="9.5703125" style="46" customWidth="1"/>
    <col min="13317" max="13317" width="8.5703125" style="46" customWidth="1"/>
    <col min="13318" max="13318" width="13.5703125" style="46" bestFit="1" customWidth="1"/>
    <col min="13319" max="13319" width="8.5703125" style="46" customWidth="1"/>
    <col min="13320" max="13320" width="11.42578125" style="46" customWidth="1"/>
    <col min="13321" max="13321" width="14.42578125" style="46" bestFit="1" customWidth="1"/>
    <col min="13322" max="13322" width="8.5703125" style="46" customWidth="1"/>
    <col min="13323" max="13323" width="13.5703125" style="46" bestFit="1" customWidth="1"/>
    <col min="13324" max="13324" width="8.5703125" style="46" customWidth="1"/>
    <col min="13325" max="13325" width="14.42578125" style="46" bestFit="1" customWidth="1"/>
    <col min="13326" max="13326" width="13.140625" style="46" bestFit="1" customWidth="1"/>
    <col min="13327" max="13327" width="14.42578125" style="46" bestFit="1" customWidth="1"/>
    <col min="13328" max="13329" width="8.5703125" style="46" customWidth="1"/>
    <col min="13330" max="13330" width="13.5703125" style="46" bestFit="1" customWidth="1"/>
    <col min="13331" max="13331" width="8.5703125" style="46" customWidth="1"/>
    <col min="13332" max="13332" width="13.5703125" style="46" bestFit="1" customWidth="1"/>
    <col min="13333" max="13335" width="8.5703125" style="46" customWidth="1"/>
    <col min="13336" max="13336" width="13.5703125" style="46" bestFit="1" customWidth="1"/>
    <col min="13337" max="13337" width="8.5703125" style="46" customWidth="1"/>
    <col min="13338" max="13338" width="14.42578125" style="46" bestFit="1" customWidth="1"/>
    <col min="13339" max="13339" width="13.5703125" style="46" bestFit="1" customWidth="1"/>
    <col min="13340" max="13341" width="8.5703125" style="46" customWidth="1"/>
    <col min="13342" max="13342" width="14.42578125" style="46" bestFit="1" customWidth="1"/>
    <col min="13343" max="13343" width="8.5703125" style="46" customWidth="1"/>
    <col min="13344" max="13344" width="13.5703125" style="46" bestFit="1" customWidth="1"/>
    <col min="13345" max="13349" width="8.5703125" style="46" customWidth="1"/>
    <col min="13350" max="13350" width="13.5703125" style="46" bestFit="1" customWidth="1"/>
    <col min="13351" max="13353" width="8.5703125" style="46" customWidth="1"/>
    <col min="13354" max="13354" width="13.5703125" style="46" bestFit="1" customWidth="1"/>
    <col min="13355" max="13355" width="14.42578125" style="46" customWidth="1"/>
    <col min="13356" max="13568" width="11.42578125" style="46"/>
    <col min="13569" max="13569" width="4.5703125" style="46" customWidth="1"/>
    <col min="13570" max="13570" width="7.42578125" style="46" customWidth="1"/>
    <col min="13571" max="13571" width="60.42578125" style="46" customWidth="1"/>
    <col min="13572" max="13572" width="9.5703125" style="46" customWidth="1"/>
    <col min="13573" max="13573" width="8.5703125" style="46" customWidth="1"/>
    <col min="13574" max="13574" width="13.5703125" style="46" bestFit="1" customWidth="1"/>
    <col min="13575" max="13575" width="8.5703125" style="46" customWidth="1"/>
    <col min="13576" max="13576" width="11.42578125" style="46" customWidth="1"/>
    <col min="13577" max="13577" width="14.42578125" style="46" bestFit="1" customWidth="1"/>
    <col min="13578" max="13578" width="8.5703125" style="46" customWidth="1"/>
    <col min="13579" max="13579" width="13.5703125" style="46" bestFit="1" customWidth="1"/>
    <col min="13580" max="13580" width="8.5703125" style="46" customWidth="1"/>
    <col min="13581" max="13581" width="14.42578125" style="46" bestFit="1" customWidth="1"/>
    <col min="13582" max="13582" width="13.140625" style="46" bestFit="1" customWidth="1"/>
    <col min="13583" max="13583" width="14.42578125" style="46" bestFit="1" customWidth="1"/>
    <col min="13584" max="13585" width="8.5703125" style="46" customWidth="1"/>
    <col min="13586" max="13586" width="13.5703125" style="46" bestFit="1" customWidth="1"/>
    <col min="13587" max="13587" width="8.5703125" style="46" customWidth="1"/>
    <col min="13588" max="13588" width="13.5703125" style="46" bestFit="1" customWidth="1"/>
    <col min="13589" max="13591" width="8.5703125" style="46" customWidth="1"/>
    <col min="13592" max="13592" width="13.5703125" style="46" bestFit="1" customWidth="1"/>
    <col min="13593" max="13593" width="8.5703125" style="46" customWidth="1"/>
    <col min="13594" max="13594" width="14.42578125" style="46" bestFit="1" customWidth="1"/>
    <col min="13595" max="13595" width="13.5703125" style="46" bestFit="1" customWidth="1"/>
    <col min="13596" max="13597" width="8.5703125" style="46" customWidth="1"/>
    <col min="13598" max="13598" width="14.42578125" style="46" bestFit="1" customWidth="1"/>
    <col min="13599" max="13599" width="8.5703125" style="46" customWidth="1"/>
    <col min="13600" max="13600" width="13.5703125" style="46" bestFit="1" customWidth="1"/>
    <col min="13601" max="13605" width="8.5703125" style="46" customWidth="1"/>
    <col min="13606" max="13606" width="13.5703125" style="46" bestFit="1" customWidth="1"/>
    <col min="13607" max="13609" width="8.5703125" style="46" customWidth="1"/>
    <col min="13610" max="13610" width="13.5703125" style="46" bestFit="1" customWidth="1"/>
    <col min="13611" max="13611" width="14.42578125" style="46" customWidth="1"/>
    <col min="13612" max="13824" width="11.42578125" style="46"/>
    <col min="13825" max="13825" width="4.5703125" style="46" customWidth="1"/>
    <col min="13826" max="13826" width="7.42578125" style="46" customWidth="1"/>
    <col min="13827" max="13827" width="60.42578125" style="46" customWidth="1"/>
    <col min="13828" max="13828" width="9.5703125" style="46" customWidth="1"/>
    <col min="13829" max="13829" width="8.5703125" style="46" customWidth="1"/>
    <col min="13830" max="13830" width="13.5703125" style="46" bestFit="1" customWidth="1"/>
    <col min="13831" max="13831" width="8.5703125" style="46" customWidth="1"/>
    <col min="13832" max="13832" width="11.42578125" style="46" customWidth="1"/>
    <col min="13833" max="13833" width="14.42578125" style="46" bestFit="1" customWidth="1"/>
    <col min="13834" max="13834" width="8.5703125" style="46" customWidth="1"/>
    <col min="13835" max="13835" width="13.5703125" style="46" bestFit="1" customWidth="1"/>
    <col min="13836" max="13836" width="8.5703125" style="46" customWidth="1"/>
    <col min="13837" max="13837" width="14.42578125" style="46" bestFit="1" customWidth="1"/>
    <col min="13838" max="13838" width="13.140625" style="46" bestFit="1" customWidth="1"/>
    <col min="13839" max="13839" width="14.42578125" style="46" bestFit="1" customWidth="1"/>
    <col min="13840" max="13841" width="8.5703125" style="46" customWidth="1"/>
    <col min="13842" max="13842" width="13.5703125" style="46" bestFit="1" customWidth="1"/>
    <col min="13843" max="13843" width="8.5703125" style="46" customWidth="1"/>
    <col min="13844" max="13844" width="13.5703125" style="46" bestFit="1" customWidth="1"/>
    <col min="13845" max="13847" width="8.5703125" style="46" customWidth="1"/>
    <col min="13848" max="13848" width="13.5703125" style="46" bestFit="1" customWidth="1"/>
    <col min="13849" max="13849" width="8.5703125" style="46" customWidth="1"/>
    <col min="13850" max="13850" width="14.42578125" style="46" bestFit="1" customWidth="1"/>
    <col min="13851" max="13851" width="13.5703125" style="46" bestFit="1" customWidth="1"/>
    <col min="13852" max="13853" width="8.5703125" style="46" customWidth="1"/>
    <col min="13854" max="13854" width="14.42578125" style="46" bestFit="1" customWidth="1"/>
    <col min="13855" max="13855" width="8.5703125" style="46" customWidth="1"/>
    <col min="13856" max="13856" width="13.5703125" style="46" bestFit="1" customWidth="1"/>
    <col min="13857" max="13861" width="8.5703125" style="46" customWidth="1"/>
    <col min="13862" max="13862" width="13.5703125" style="46" bestFit="1" customWidth="1"/>
    <col min="13863" max="13865" width="8.5703125" style="46" customWidth="1"/>
    <col min="13866" max="13866" width="13.5703125" style="46" bestFit="1" customWidth="1"/>
    <col min="13867" max="13867" width="14.42578125" style="46" customWidth="1"/>
    <col min="13868" max="14080" width="11.42578125" style="46"/>
    <col min="14081" max="14081" width="4.5703125" style="46" customWidth="1"/>
    <col min="14082" max="14082" width="7.42578125" style="46" customWidth="1"/>
    <col min="14083" max="14083" width="60.42578125" style="46" customWidth="1"/>
    <col min="14084" max="14084" width="9.5703125" style="46" customWidth="1"/>
    <col min="14085" max="14085" width="8.5703125" style="46" customWidth="1"/>
    <col min="14086" max="14086" width="13.5703125" style="46" bestFit="1" customWidth="1"/>
    <col min="14087" max="14087" width="8.5703125" style="46" customWidth="1"/>
    <col min="14088" max="14088" width="11.42578125" style="46" customWidth="1"/>
    <col min="14089" max="14089" width="14.42578125" style="46" bestFit="1" customWidth="1"/>
    <col min="14090" max="14090" width="8.5703125" style="46" customWidth="1"/>
    <col min="14091" max="14091" width="13.5703125" style="46" bestFit="1" customWidth="1"/>
    <col min="14092" max="14092" width="8.5703125" style="46" customWidth="1"/>
    <col min="14093" max="14093" width="14.42578125" style="46" bestFit="1" customWidth="1"/>
    <col min="14094" max="14094" width="13.140625" style="46" bestFit="1" customWidth="1"/>
    <col min="14095" max="14095" width="14.42578125" style="46" bestFit="1" customWidth="1"/>
    <col min="14096" max="14097" width="8.5703125" style="46" customWidth="1"/>
    <col min="14098" max="14098" width="13.5703125" style="46" bestFit="1" customWidth="1"/>
    <col min="14099" max="14099" width="8.5703125" style="46" customWidth="1"/>
    <col min="14100" max="14100" width="13.5703125" style="46" bestFit="1" customWidth="1"/>
    <col min="14101" max="14103" width="8.5703125" style="46" customWidth="1"/>
    <col min="14104" max="14104" width="13.5703125" style="46" bestFit="1" customWidth="1"/>
    <col min="14105" max="14105" width="8.5703125" style="46" customWidth="1"/>
    <col min="14106" max="14106" width="14.42578125" style="46" bestFit="1" customWidth="1"/>
    <col min="14107" max="14107" width="13.5703125" style="46" bestFit="1" customWidth="1"/>
    <col min="14108" max="14109" width="8.5703125" style="46" customWidth="1"/>
    <col min="14110" max="14110" width="14.42578125" style="46" bestFit="1" customWidth="1"/>
    <col min="14111" max="14111" width="8.5703125" style="46" customWidth="1"/>
    <col min="14112" max="14112" width="13.5703125" style="46" bestFit="1" customWidth="1"/>
    <col min="14113" max="14117" width="8.5703125" style="46" customWidth="1"/>
    <col min="14118" max="14118" width="13.5703125" style="46" bestFit="1" customWidth="1"/>
    <col min="14119" max="14121" width="8.5703125" style="46" customWidth="1"/>
    <col min="14122" max="14122" width="13.5703125" style="46" bestFit="1" customWidth="1"/>
    <col min="14123" max="14123" width="14.42578125" style="46" customWidth="1"/>
    <col min="14124" max="14336" width="11.42578125" style="46"/>
    <col min="14337" max="14337" width="4.5703125" style="46" customWidth="1"/>
    <col min="14338" max="14338" width="7.42578125" style="46" customWidth="1"/>
    <col min="14339" max="14339" width="60.42578125" style="46" customWidth="1"/>
    <col min="14340" max="14340" width="9.5703125" style="46" customWidth="1"/>
    <col min="14341" max="14341" width="8.5703125" style="46" customWidth="1"/>
    <col min="14342" max="14342" width="13.5703125" style="46" bestFit="1" customWidth="1"/>
    <col min="14343" max="14343" width="8.5703125" style="46" customWidth="1"/>
    <col min="14344" max="14344" width="11.42578125" style="46" customWidth="1"/>
    <col min="14345" max="14345" width="14.42578125" style="46" bestFit="1" customWidth="1"/>
    <col min="14346" max="14346" width="8.5703125" style="46" customWidth="1"/>
    <col min="14347" max="14347" width="13.5703125" style="46" bestFit="1" customWidth="1"/>
    <col min="14348" max="14348" width="8.5703125" style="46" customWidth="1"/>
    <col min="14349" max="14349" width="14.42578125" style="46" bestFit="1" customWidth="1"/>
    <col min="14350" max="14350" width="13.140625" style="46" bestFit="1" customWidth="1"/>
    <col min="14351" max="14351" width="14.42578125" style="46" bestFit="1" customWidth="1"/>
    <col min="14352" max="14353" width="8.5703125" style="46" customWidth="1"/>
    <col min="14354" max="14354" width="13.5703125" style="46" bestFit="1" customWidth="1"/>
    <col min="14355" max="14355" width="8.5703125" style="46" customWidth="1"/>
    <col min="14356" max="14356" width="13.5703125" style="46" bestFit="1" customWidth="1"/>
    <col min="14357" max="14359" width="8.5703125" style="46" customWidth="1"/>
    <col min="14360" max="14360" width="13.5703125" style="46" bestFit="1" customWidth="1"/>
    <col min="14361" max="14361" width="8.5703125" style="46" customWidth="1"/>
    <col min="14362" max="14362" width="14.42578125" style="46" bestFit="1" customWidth="1"/>
    <col min="14363" max="14363" width="13.5703125" style="46" bestFit="1" customWidth="1"/>
    <col min="14364" max="14365" width="8.5703125" style="46" customWidth="1"/>
    <col min="14366" max="14366" width="14.42578125" style="46" bestFit="1" customWidth="1"/>
    <col min="14367" max="14367" width="8.5703125" style="46" customWidth="1"/>
    <col min="14368" max="14368" width="13.5703125" style="46" bestFit="1" customWidth="1"/>
    <col min="14369" max="14373" width="8.5703125" style="46" customWidth="1"/>
    <col min="14374" max="14374" width="13.5703125" style="46" bestFit="1" customWidth="1"/>
    <col min="14375" max="14377" width="8.5703125" style="46" customWidth="1"/>
    <col min="14378" max="14378" width="13.5703125" style="46" bestFit="1" customWidth="1"/>
    <col min="14379" max="14379" width="14.42578125" style="46" customWidth="1"/>
    <col min="14380" max="14592" width="11.42578125" style="46"/>
    <col min="14593" max="14593" width="4.5703125" style="46" customWidth="1"/>
    <col min="14594" max="14594" width="7.42578125" style="46" customWidth="1"/>
    <col min="14595" max="14595" width="60.42578125" style="46" customWidth="1"/>
    <col min="14596" max="14596" width="9.5703125" style="46" customWidth="1"/>
    <col min="14597" max="14597" width="8.5703125" style="46" customWidth="1"/>
    <col min="14598" max="14598" width="13.5703125" style="46" bestFit="1" customWidth="1"/>
    <col min="14599" max="14599" width="8.5703125" style="46" customWidth="1"/>
    <col min="14600" max="14600" width="11.42578125" style="46" customWidth="1"/>
    <col min="14601" max="14601" width="14.42578125" style="46" bestFit="1" customWidth="1"/>
    <col min="14602" max="14602" width="8.5703125" style="46" customWidth="1"/>
    <col min="14603" max="14603" width="13.5703125" style="46" bestFit="1" customWidth="1"/>
    <col min="14604" max="14604" width="8.5703125" style="46" customWidth="1"/>
    <col min="14605" max="14605" width="14.42578125" style="46" bestFit="1" customWidth="1"/>
    <col min="14606" max="14606" width="13.140625" style="46" bestFit="1" customWidth="1"/>
    <col min="14607" max="14607" width="14.42578125" style="46" bestFit="1" customWidth="1"/>
    <col min="14608" max="14609" width="8.5703125" style="46" customWidth="1"/>
    <col min="14610" max="14610" width="13.5703125" style="46" bestFit="1" customWidth="1"/>
    <col min="14611" max="14611" width="8.5703125" style="46" customWidth="1"/>
    <col min="14612" max="14612" width="13.5703125" style="46" bestFit="1" customWidth="1"/>
    <col min="14613" max="14615" width="8.5703125" style="46" customWidth="1"/>
    <col min="14616" max="14616" width="13.5703125" style="46" bestFit="1" customWidth="1"/>
    <col min="14617" max="14617" width="8.5703125" style="46" customWidth="1"/>
    <col min="14618" max="14618" width="14.42578125" style="46" bestFit="1" customWidth="1"/>
    <col min="14619" max="14619" width="13.5703125" style="46" bestFit="1" customWidth="1"/>
    <col min="14620" max="14621" width="8.5703125" style="46" customWidth="1"/>
    <col min="14622" max="14622" width="14.42578125" style="46" bestFit="1" customWidth="1"/>
    <col min="14623" max="14623" width="8.5703125" style="46" customWidth="1"/>
    <col min="14624" max="14624" width="13.5703125" style="46" bestFit="1" customWidth="1"/>
    <col min="14625" max="14629" width="8.5703125" style="46" customWidth="1"/>
    <col min="14630" max="14630" width="13.5703125" style="46" bestFit="1" customWidth="1"/>
    <col min="14631" max="14633" width="8.5703125" style="46" customWidth="1"/>
    <col min="14634" max="14634" width="13.5703125" style="46" bestFit="1" customWidth="1"/>
    <col min="14635" max="14635" width="14.42578125" style="46" customWidth="1"/>
    <col min="14636" max="14848" width="11.42578125" style="46"/>
    <col min="14849" max="14849" width="4.5703125" style="46" customWidth="1"/>
    <col min="14850" max="14850" width="7.42578125" style="46" customWidth="1"/>
    <col min="14851" max="14851" width="60.42578125" style="46" customWidth="1"/>
    <col min="14852" max="14852" width="9.5703125" style="46" customWidth="1"/>
    <col min="14853" max="14853" width="8.5703125" style="46" customWidth="1"/>
    <col min="14854" max="14854" width="13.5703125" style="46" bestFit="1" customWidth="1"/>
    <col min="14855" max="14855" width="8.5703125" style="46" customWidth="1"/>
    <col min="14856" max="14856" width="11.42578125" style="46" customWidth="1"/>
    <col min="14857" max="14857" width="14.42578125" style="46" bestFit="1" customWidth="1"/>
    <col min="14858" max="14858" width="8.5703125" style="46" customWidth="1"/>
    <col min="14859" max="14859" width="13.5703125" style="46" bestFit="1" customWidth="1"/>
    <col min="14860" max="14860" width="8.5703125" style="46" customWidth="1"/>
    <col min="14861" max="14861" width="14.42578125" style="46" bestFit="1" customWidth="1"/>
    <col min="14862" max="14862" width="13.140625" style="46" bestFit="1" customWidth="1"/>
    <col min="14863" max="14863" width="14.42578125" style="46" bestFit="1" customWidth="1"/>
    <col min="14864" max="14865" width="8.5703125" style="46" customWidth="1"/>
    <col min="14866" max="14866" width="13.5703125" style="46" bestFit="1" customWidth="1"/>
    <col min="14867" max="14867" width="8.5703125" style="46" customWidth="1"/>
    <col min="14868" max="14868" width="13.5703125" style="46" bestFit="1" customWidth="1"/>
    <col min="14869" max="14871" width="8.5703125" style="46" customWidth="1"/>
    <col min="14872" max="14872" width="13.5703125" style="46" bestFit="1" customWidth="1"/>
    <col min="14873" max="14873" width="8.5703125" style="46" customWidth="1"/>
    <col min="14874" max="14874" width="14.42578125" style="46" bestFit="1" customWidth="1"/>
    <col min="14875" max="14875" width="13.5703125" style="46" bestFit="1" customWidth="1"/>
    <col min="14876" max="14877" width="8.5703125" style="46" customWidth="1"/>
    <col min="14878" max="14878" width="14.42578125" style="46" bestFit="1" customWidth="1"/>
    <col min="14879" max="14879" width="8.5703125" style="46" customWidth="1"/>
    <col min="14880" max="14880" width="13.5703125" style="46" bestFit="1" customWidth="1"/>
    <col min="14881" max="14885" width="8.5703125" style="46" customWidth="1"/>
    <col min="14886" max="14886" width="13.5703125" style="46" bestFit="1" customWidth="1"/>
    <col min="14887" max="14889" width="8.5703125" style="46" customWidth="1"/>
    <col min="14890" max="14890" width="13.5703125" style="46" bestFit="1" customWidth="1"/>
    <col min="14891" max="14891" width="14.42578125" style="46" customWidth="1"/>
    <col min="14892" max="15104" width="11.42578125" style="46"/>
    <col min="15105" max="15105" width="4.5703125" style="46" customWidth="1"/>
    <col min="15106" max="15106" width="7.42578125" style="46" customWidth="1"/>
    <col min="15107" max="15107" width="60.42578125" style="46" customWidth="1"/>
    <col min="15108" max="15108" width="9.5703125" style="46" customWidth="1"/>
    <col min="15109" max="15109" width="8.5703125" style="46" customWidth="1"/>
    <col min="15110" max="15110" width="13.5703125" style="46" bestFit="1" customWidth="1"/>
    <col min="15111" max="15111" width="8.5703125" style="46" customWidth="1"/>
    <col min="15112" max="15112" width="11.42578125" style="46" customWidth="1"/>
    <col min="15113" max="15113" width="14.42578125" style="46" bestFit="1" customWidth="1"/>
    <col min="15114" max="15114" width="8.5703125" style="46" customWidth="1"/>
    <col min="15115" max="15115" width="13.5703125" style="46" bestFit="1" customWidth="1"/>
    <col min="15116" max="15116" width="8.5703125" style="46" customWidth="1"/>
    <col min="15117" max="15117" width="14.42578125" style="46" bestFit="1" customWidth="1"/>
    <col min="15118" max="15118" width="13.140625" style="46" bestFit="1" customWidth="1"/>
    <col min="15119" max="15119" width="14.42578125" style="46" bestFit="1" customWidth="1"/>
    <col min="15120" max="15121" width="8.5703125" style="46" customWidth="1"/>
    <col min="15122" max="15122" width="13.5703125" style="46" bestFit="1" customWidth="1"/>
    <col min="15123" max="15123" width="8.5703125" style="46" customWidth="1"/>
    <col min="15124" max="15124" width="13.5703125" style="46" bestFit="1" customWidth="1"/>
    <col min="15125" max="15127" width="8.5703125" style="46" customWidth="1"/>
    <col min="15128" max="15128" width="13.5703125" style="46" bestFit="1" customWidth="1"/>
    <col min="15129" max="15129" width="8.5703125" style="46" customWidth="1"/>
    <col min="15130" max="15130" width="14.42578125" style="46" bestFit="1" customWidth="1"/>
    <col min="15131" max="15131" width="13.5703125" style="46" bestFit="1" customWidth="1"/>
    <col min="15132" max="15133" width="8.5703125" style="46" customWidth="1"/>
    <col min="15134" max="15134" width="14.42578125" style="46" bestFit="1" customWidth="1"/>
    <col min="15135" max="15135" width="8.5703125" style="46" customWidth="1"/>
    <col min="15136" max="15136" width="13.5703125" style="46" bestFit="1" customWidth="1"/>
    <col min="15137" max="15141" width="8.5703125" style="46" customWidth="1"/>
    <col min="15142" max="15142" width="13.5703125" style="46" bestFit="1" customWidth="1"/>
    <col min="15143" max="15145" width="8.5703125" style="46" customWidth="1"/>
    <col min="15146" max="15146" width="13.5703125" style="46" bestFit="1" customWidth="1"/>
    <col min="15147" max="15147" width="14.42578125" style="46" customWidth="1"/>
    <col min="15148" max="15360" width="11.42578125" style="46"/>
    <col min="15361" max="15361" width="4.5703125" style="46" customWidth="1"/>
    <col min="15362" max="15362" width="7.42578125" style="46" customWidth="1"/>
    <col min="15363" max="15363" width="60.42578125" style="46" customWidth="1"/>
    <col min="15364" max="15364" width="9.5703125" style="46" customWidth="1"/>
    <col min="15365" max="15365" width="8.5703125" style="46" customWidth="1"/>
    <col min="15366" max="15366" width="13.5703125" style="46" bestFit="1" customWidth="1"/>
    <col min="15367" max="15367" width="8.5703125" style="46" customWidth="1"/>
    <col min="15368" max="15368" width="11.42578125" style="46" customWidth="1"/>
    <col min="15369" max="15369" width="14.42578125" style="46" bestFit="1" customWidth="1"/>
    <col min="15370" max="15370" width="8.5703125" style="46" customWidth="1"/>
    <col min="15371" max="15371" width="13.5703125" style="46" bestFit="1" customWidth="1"/>
    <col min="15372" max="15372" width="8.5703125" style="46" customWidth="1"/>
    <col min="15373" max="15373" width="14.42578125" style="46" bestFit="1" customWidth="1"/>
    <col min="15374" max="15374" width="13.140625" style="46" bestFit="1" customWidth="1"/>
    <col min="15375" max="15375" width="14.42578125" style="46" bestFit="1" customWidth="1"/>
    <col min="15376" max="15377" width="8.5703125" style="46" customWidth="1"/>
    <col min="15378" max="15378" width="13.5703125" style="46" bestFit="1" customWidth="1"/>
    <col min="15379" max="15379" width="8.5703125" style="46" customWidth="1"/>
    <col min="15380" max="15380" width="13.5703125" style="46" bestFit="1" customWidth="1"/>
    <col min="15381" max="15383" width="8.5703125" style="46" customWidth="1"/>
    <col min="15384" max="15384" width="13.5703125" style="46" bestFit="1" customWidth="1"/>
    <col min="15385" max="15385" width="8.5703125" style="46" customWidth="1"/>
    <col min="15386" max="15386" width="14.42578125" style="46" bestFit="1" customWidth="1"/>
    <col min="15387" max="15387" width="13.5703125" style="46" bestFit="1" customWidth="1"/>
    <col min="15388" max="15389" width="8.5703125" style="46" customWidth="1"/>
    <col min="15390" max="15390" width="14.42578125" style="46" bestFit="1" customWidth="1"/>
    <col min="15391" max="15391" width="8.5703125" style="46" customWidth="1"/>
    <col min="15392" max="15392" width="13.5703125" style="46" bestFit="1" customWidth="1"/>
    <col min="15393" max="15397" width="8.5703125" style="46" customWidth="1"/>
    <col min="15398" max="15398" width="13.5703125" style="46" bestFit="1" customWidth="1"/>
    <col min="15399" max="15401" width="8.5703125" style="46" customWidth="1"/>
    <col min="15402" max="15402" width="13.5703125" style="46" bestFit="1" customWidth="1"/>
    <col min="15403" max="15403" width="14.42578125" style="46" customWidth="1"/>
    <col min="15404" max="15616" width="11.42578125" style="46"/>
    <col min="15617" max="15617" width="4.5703125" style="46" customWidth="1"/>
    <col min="15618" max="15618" width="7.42578125" style="46" customWidth="1"/>
    <col min="15619" max="15619" width="60.42578125" style="46" customWidth="1"/>
    <col min="15620" max="15620" width="9.5703125" style="46" customWidth="1"/>
    <col min="15621" max="15621" width="8.5703125" style="46" customWidth="1"/>
    <col min="15622" max="15622" width="13.5703125" style="46" bestFit="1" customWidth="1"/>
    <col min="15623" max="15623" width="8.5703125" style="46" customWidth="1"/>
    <col min="15624" max="15624" width="11.42578125" style="46" customWidth="1"/>
    <col min="15625" max="15625" width="14.42578125" style="46" bestFit="1" customWidth="1"/>
    <col min="15626" max="15626" width="8.5703125" style="46" customWidth="1"/>
    <col min="15627" max="15627" width="13.5703125" style="46" bestFit="1" customWidth="1"/>
    <col min="15628" max="15628" width="8.5703125" style="46" customWidth="1"/>
    <col min="15629" max="15629" width="14.42578125" style="46" bestFit="1" customWidth="1"/>
    <col min="15630" max="15630" width="13.140625" style="46" bestFit="1" customWidth="1"/>
    <col min="15631" max="15631" width="14.42578125" style="46" bestFit="1" customWidth="1"/>
    <col min="15632" max="15633" width="8.5703125" style="46" customWidth="1"/>
    <col min="15634" max="15634" width="13.5703125" style="46" bestFit="1" customWidth="1"/>
    <col min="15635" max="15635" width="8.5703125" style="46" customWidth="1"/>
    <col min="15636" max="15636" width="13.5703125" style="46" bestFit="1" customWidth="1"/>
    <col min="15637" max="15639" width="8.5703125" style="46" customWidth="1"/>
    <col min="15640" max="15640" width="13.5703125" style="46" bestFit="1" customWidth="1"/>
    <col min="15641" max="15641" width="8.5703125" style="46" customWidth="1"/>
    <col min="15642" max="15642" width="14.42578125" style="46" bestFit="1" customWidth="1"/>
    <col min="15643" max="15643" width="13.5703125" style="46" bestFit="1" customWidth="1"/>
    <col min="15644" max="15645" width="8.5703125" style="46" customWidth="1"/>
    <col min="15646" max="15646" width="14.42578125" style="46" bestFit="1" customWidth="1"/>
    <col min="15647" max="15647" width="8.5703125" style="46" customWidth="1"/>
    <col min="15648" max="15648" width="13.5703125" style="46" bestFit="1" customWidth="1"/>
    <col min="15649" max="15653" width="8.5703125" style="46" customWidth="1"/>
    <col min="15654" max="15654" width="13.5703125" style="46" bestFit="1" customWidth="1"/>
    <col min="15655" max="15657" width="8.5703125" style="46" customWidth="1"/>
    <col min="15658" max="15658" width="13.5703125" style="46" bestFit="1" customWidth="1"/>
    <col min="15659" max="15659" width="14.42578125" style="46" customWidth="1"/>
    <col min="15660" max="15872" width="11.42578125" style="46"/>
    <col min="15873" max="15873" width="4.5703125" style="46" customWidth="1"/>
    <col min="15874" max="15874" width="7.42578125" style="46" customWidth="1"/>
    <col min="15875" max="15875" width="60.42578125" style="46" customWidth="1"/>
    <col min="15876" max="15876" width="9.5703125" style="46" customWidth="1"/>
    <col min="15877" max="15877" width="8.5703125" style="46" customWidth="1"/>
    <col min="15878" max="15878" width="13.5703125" style="46" bestFit="1" customWidth="1"/>
    <col min="15879" max="15879" width="8.5703125" style="46" customWidth="1"/>
    <col min="15880" max="15880" width="11.42578125" style="46" customWidth="1"/>
    <col min="15881" max="15881" width="14.42578125" style="46" bestFit="1" customWidth="1"/>
    <col min="15882" max="15882" width="8.5703125" style="46" customWidth="1"/>
    <col min="15883" max="15883" width="13.5703125" style="46" bestFit="1" customWidth="1"/>
    <col min="15884" max="15884" width="8.5703125" style="46" customWidth="1"/>
    <col min="15885" max="15885" width="14.42578125" style="46" bestFit="1" customWidth="1"/>
    <col min="15886" max="15886" width="13.140625" style="46" bestFit="1" customWidth="1"/>
    <col min="15887" max="15887" width="14.42578125" style="46" bestFit="1" customWidth="1"/>
    <col min="15888" max="15889" width="8.5703125" style="46" customWidth="1"/>
    <col min="15890" max="15890" width="13.5703125" style="46" bestFit="1" customWidth="1"/>
    <col min="15891" max="15891" width="8.5703125" style="46" customWidth="1"/>
    <col min="15892" max="15892" width="13.5703125" style="46" bestFit="1" customWidth="1"/>
    <col min="15893" max="15895" width="8.5703125" style="46" customWidth="1"/>
    <col min="15896" max="15896" width="13.5703125" style="46" bestFit="1" customWidth="1"/>
    <col min="15897" max="15897" width="8.5703125" style="46" customWidth="1"/>
    <col min="15898" max="15898" width="14.42578125" style="46" bestFit="1" customWidth="1"/>
    <col min="15899" max="15899" width="13.5703125" style="46" bestFit="1" customWidth="1"/>
    <col min="15900" max="15901" width="8.5703125" style="46" customWidth="1"/>
    <col min="15902" max="15902" width="14.42578125" style="46" bestFit="1" customWidth="1"/>
    <col min="15903" max="15903" width="8.5703125" style="46" customWidth="1"/>
    <col min="15904" max="15904" width="13.5703125" style="46" bestFit="1" customWidth="1"/>
    <col min="15905" max="15909" width="8.5703125" style="46" customWidth="1"/>
    <col min="15910" max="15910" width="13.5703125" style="46" bestFit="1" customWidth="1"/>
    <col min="15911" max="15913" width="8.5703125" style="46" customWidth="1"/>
    <col min="15914" max="15914" width="13.5703125" style="46" bestFit="1" customWidth="1"/>
    <col min="15915" max="15915" width="14.42578125" style="46" customWidth="1"/>
    <col min="15916" max="16128" width="11.42578125" style="46"/>
    <col min="16129" max="16129" width="4.5703125" style="46" customWidth="1"/>
    <col min="16130" max="16130" width="7.42578125" style="46" customWidth="1"/>
    <col min="16131" max="16131" width="60.42578125" style="46" customWidth="1"/>
    <col min="16132" max="16132" width="9.5703125" style="46" customWidth="1"/>
    <col min="16133" max="16133" width="8.5703125" style="46" customWidth="1"/>
    <col min="16134" max="16134" width="13.5703125" style="46" bestFit="1" customWidth="1"/>
    <col min="16135" max="16135" width="8.5703125" style="46" customWidth="1"/>
    <col min="16136" max="16136" width="11.42578125" style="46" customWidth="1"/>
    <col min="16137" max="16137" width="14.42578125" style="46" bestFit="1" customWidth="1"/>
    <col min="16138" max="16138" width="8.5703125" style="46" customWidth="1"/>
    <col min="16139" max="16139" width="13.5703125" style="46" bestFit="1" customWidth="1"/>
    <col min="16140" max="16140" width="8.5703125" style="46" customWidth="1"/>
    <col min="16141" max="16141" width="14.42578125" style="46" bestFit="1" customWidth="1"/>
    <col min="16142" max="16142" width="13.140625" style="46" bestFit="1" customWidth="1"/>
    <col min="16143" max="16143" width="14.42578125" style="46" bestFit="1" customWidth="1"/>
    <col min="16144" max="16145" width="8.5703125" style="46" customWidth="1"/>
    <col min="16146" max="16146" width="13.5703125" style="46" bestFit="1" customWidth="1"/>
    <col min="16147" max="16147" width="8.5703125" style="46" customWidth="1"/>
    <col min="16148" max="16148" width="13.5703125" style="46" bestFit="1" customWidth="1"/>
    <col min="16149" max="16151" width="8.5703125" style="46" customWidth="1"/>
    <col min="16152" max="16152" width="13.5703125" style="46" bestFit="1" customWidth="1"/>
    <col min="16153" max="16153" width="8.5703125" style="46" customWidth="1"/>
    <col min="16154" max="16154" width="14.42578125" style="46" bestFit="1" customWidth="1"/>
    <col min="16155" max="16155" width="13.5703125" style="46" bestFit="1" customWidth="1"/>
    <col min="16156" max="16157" width="8.5703125" style="46" customWidth="1"/>
    <col min="16158" max="16158" width="14.42578125" style="46" bestFit="1" customWidth="1"/>
    <col min="16159" max="16159" width="8.5703125" style="46" customWidth="1"/>
    <col min="16160" max="16160" width="13.5703125" style="46" bestFit="1" customWidth="1"/>
    <col min="16161" max="16165" width="8.5703125" style="46" customWidth="1"/>
    <col min="16166" max="16166" width="13.5703125" style="46" bestFit="1" customWidth="1"/>
    <col min="16167" max="16169" width="8.5703125" style="46" customWidth="1"/>
    <col min="16170" max="16170" width="13.5703125" style="46" bestFit="1" customWidth="1"/>
    <col min="16171" max="16171" width="14.42578125" style="46" customWidth="1"/>
    <col min="16172" max="16384" width="11.42578125" style="46"/>
  </cols>
  <sheetData>
    <row r="1" spans="1:43" ht="15.95" customHeight="1" x14ac:dyDescent="0.2">
      <c r="A1" s="39"/>
      <c r="B1" s="40"/>
      <c r="C1" s="40"/>
      <c r="D1" s="41"/>
      <c r="E1" s="42"/>
      <c r="F1" s="43"/>
      <c r="K1" s="43"/>
      <c r="R1" s="50"/>
      <c r="T1" s="50"/>
      <c r="W1" s="40"/>
      <c r="X1" s="50"/>
      <c r="AA1" s="50"/>
      <c r="AF1" s="54"/>
      <c r="AL1" s="50"/>
      <c r="AP1" s="50"/>
    </row>
    <row r="2" spans="1:43" ht="15.95" customHeight="1" x14ac:dyDescent="0.2">
      <c r="A2" s="55"/>
      <c r="B2" s="56"/>
      <c r="C2" s="57" t="s">
        <v>92</v>
      </c>
      <c r="D2" s="58"/>
      <c r="E2" s="59" t="s">
        <v>93</v>
      </c>
      <c r="F2" s="60" t="s">
        <v>94</v>
      </c>
      <c r="K2" s="60"/>
      <c r="R2" s="50"/>
      <c r="T2" s="50"/>
      <c r="W2" s="61"/>
      <c r="X2" s="50"/>
      <c r="AA2" s="50"/>
      <c r="AF2" s="54"/>
      <c r="AL2" s="50"/>
      <c r="AP2" s="50"/>
    </row>
    <row r="3" spans="1:43" ht="15.95" customHeight="1" x14ac:dyDescent="0.2">
      <c r="A3" s="55"/>
      <c r="B3" s="56"/>
      <c r="C3" s="56"/>
      <c r="D3" s="62"/>
      <c r="E3" s="63" t="s">
        <v>95</v>
      </c>
      <c r="F3" s="64"/>
      <c r="K3" s="64"/>
      <c r="R3" s="50"/>
      <c r="T3" s="50"/>
      <c r="W3" s="65"/>
      <c r="X3" s="50"/>
      <c r="AA3" s="50"/>
      <c r="AE3" s="49"/>
      <c r="AF3" s="54"/>
      <c r="AL3" s="50"/>
      <c r="AP3" s="50"/>
    </row>
    <row r="4" spans="1:43" ht="15.95" customHeight="1" x14ac:dyDescent="0.2">
      <c r="A4" s="55"/>
      <c r="B4" s="56"/>
      <c r="C4" s="66" t="s">
        <v>96</v>
      </c>
      <c r="D4" s="67"/>
      <c r="E4" s="63" t="s">
        <v>97</v>
      </c>
      <c r="F4" s="64">
        <v>0</v>
      </c>
      <c r="K4" s="64"/>
      <c r="R4" s="50"/>
      <c r="T4" s="50"/>
      <c r="W4" s="65"/>
      <c r="X4" s="50"/>
      <c r="AA4" s="50"/>
      <c r="AE4" s="49"/>
      <c r="AF4" s="54"/>
      <c r="AL4" s="50"/>
      <c r="AP4" s="50"/>
    </row>
    <row r="5" spans="1:43" ht="15.95" customHeight="1" x14ac:dyDescent="0.2">
      <c r="A5" s="68"/>
      <c r="B5" s="69"/>
      <c r="C5" s="70"/>
      <c r="D5" s="71"/>
      <c r="E5" s="72"/>
      <c r="F5" s="73"/>
      <c r="K5" s="73"/>
      <c r="R5" s="50"/>
      <c r="T5" s="50"/>
      <c r="W5" s="65"/>
      <c r="X5" s="50"/>
      <c r="AA5" s="50"/>
      <c r="AE5" s="49"/>
      <c r="AF5" s="54"/>
      <c r="AL5" s="50"/>
      <c r="AP5" s="50"/>
    </row>
    <row r="6" spans="1:43" ht="12" customHeight="1" x14ac:dyDescent="0.2">
      <c r="A6" s="56"/>
      <c r="B6" s="56"/>
      <c r="C6" s="74"/>
      <c r="D6" s="74"/>
      <c r="E6" s="75"/>
      <c r="F6" s="76"/>
      <c r="K6" s="76"/>
      <c r="R6" s="50"/>
      <c r="T6" s="50"/>
      <c r="W6" s="65"/>
      <c r="X6" s="50"/>
      <c r="AA6" s="50"/>
      <c r="AE6" s="49"/>
      <c r="AF6" s="54"/>
      <c r="AL6" s="50"/>
      <c r="AP6" s="50"/>
    </row>
    <row r="7" spans="1:43" ht="24" customHeight="1" x14ac:dyDescent="0.2">
      <c r="A7" s="77" t="s">
        <v>98</v>
      </c>
      <c r="B7" s="78"/>
      <c r="C7" s="79" t="s">
        <v>99</v>
      </c>
      <c r="D7" s="80"/>
      <c r="E7" s="81" t="s">
        <v>100</v>
      </c>
      <c r="F7" s="82" t="s">
        <v>101</v>
      </c>
      <c r="K7" s="82"/>
      <c r="R7" s="50"/>
      <c r="T7" s="50"/>
      <c r="W7" s="65"/>
      <c r="X7" s="50"/>
      <c r="AA7" s="50"/>
      <c r="AE7" s="49"/>
      <c r="AF7" s="54"/>
      <c r="AL7" s="50"/>
      <c r="AP7" s="50"/>
    </row>
    <row r="8" spans="1:43" ht="24" customHeight="1" x14ac:dyDescent="0.2">
      <c r="A8" s="83" t="s">
        <v>102</v>
      </c>
      <c r="B8" s="84"/>
      <c r="C8" s="85" t="s">
        <v>103</v>
      </c>
      <c r="D8" s="86"/>
      <c r="E8" s="87" t="s">
        <v>104</v>
      </c>
      <c r="F8" s="88">
        <f ca="1">+TODAY()</f>
        <v>44091</v>
      </c>
      <c r="K8" s="88"/>
      <c r="R8" s="50"/>
      <c r="T8" s="50"/>
      <c r="W8" s="65"/>
      <c r="X8" s="50"/>
      <c r="AA8" s="50"/>
      <c r="AE8" s="49"/>
      <c r="AF8" s="54"/>
      <c r="AL8" s="50"/>
      <c r="AP8" s="50"/>
    </row>
    <row r="9" spans="1:43" ht="25.5" customHeight="1" x14ac:dyDescent="0.2">
      <c r="A9" s="89" t="s">
        <v>105</v>
      </c>
      <c r="B9" s="90"/>
      <c r="C9" s="91" t="s">
        <v>106</v>
      </c>
      <c r="D9" s="92"/>
      <c r="E9" s="87" t="s">
        <v>107</v>
      </c>
      <c r="F9" s="60" t="s">
        <v>108</v>
      </c>
      <c r="K9" s="60"/>
      <c r="R9" s="50"/>
      <c r="T9" s="50"/>
      <c r="W9" s="65"/>
      <c r="X9" s="50"/>
      <c r="AA9" s="50"/>
      <c r="AE9" s="49"/>
      <c r="AF9" s="54"/>
      <c r="AL9" s="50"/>
      <c r="AP9" s="50"/>
    </row>
    <row r="10" spans="1:43" ht="35.25" customHeight="1" x14ac:dyDescent="0.2">
      <c r="A10" s="93" t="s">
        <v>109</v>
      </c>
      <c r="B10" s="94"/>
      <c r="C10" s="8" t="s">
        <v>110</v>
      </c>
      <c r="D10" s="95" t="s">
        <v>16</v>
      </c>
      <c r="E10" s="96"/>
      <c r="F10" s="97" t="s">
        <v>111</v>
      </c>
      <c r="K10" s="97"/>
      <c r="R10" s="50"/>
      <c r="T10" s="50"/>
      <c r="W10" s="65"/>
      <c r="X10" s="50"/>
      <c r="AA10" s="50"/>
      <c r="AE10" s="49"/>
      <c r="AF10" s="54"/>
      <c r="AL10" s="50"/>
      <c r="AP10" s="50"/>
    </row>
    <row r="11" spans="1:43" ht="36" customHeight="1" x14ac:dyDescent="0.2">
      <c r="A11" s="98"/>
      <c r="B11" s="99"/>
      <c r="C11" s="98"/>
      <c r="D11" s="100"/>
      <c r="E11" s="101" t="s">
        <v>18</v>
      </c>
      <c r="F11" s="102" t="s">
        <v>112</v>
      </c>
      <c r="G11" s="103" t="s">
        <v>18</v>
      </c>
      <c r="H11" s="103" t="s">
        <v>18</v>
      </c>
      <c r="I11" s="103" t="s">
        <v>113</v>
      </c>
      <c r="J11" s="103" t="s">
        <v>18</v>
      </c>
      <c r="K11" s="102" t="s">
        <v>112</v>
      </c>
      <c r="L11" s="103" t="s">
        <v>18</v>
      </c>
      <c r="M11" s="104" t="s">
        <v>113</v>
      </c>
      <c r="N11" s="102" t="s">
        <v>114</v>
      </c>
      <c r="O11" s="103" t="s">
        <v>113</v>
      </c>
      <c r="P11" s="103" t="s">
        <v>18</v>
      </c>
      <c r="Q11" s="103" t="s">
        <v>18</v>
      </c>
      <c r="R11" s="102" t="s">
        <v>112</v>
      </c>
      <c r="S11" s="103" t="s">
        <v>18</v>
      </c>
      <c r="T11" s="102" t="s">
        <v>112</v>
      </c>
      <c r="U11" s="103" t="s">
        <v>18</v>
      </c>
      <c r="V11" s="103" t="s">
        <v>18</v>
      </c>
      <c r="W11" s="103" t="s">
        <v>18</v>
      </c>
      <c r="X11" s="102" t="s">
        <v>112</v>
      </c>
      <c r="Y11" s="103" t="s">
        <v>18</v>
      </c>
      <c r="Z11" s="103" t="s">
        <v>113</v>
      </c>
      <c r="AA11" s="102" t="s">
        <v>112</v>
      </c>
      <c r="AB11" s="103" t="s">
        <v>18</v>
      </c>
      <c r="AC11" s="103" t="s">
        <v>18</v>
      </c>
      <c r="AD11" s="103" t="s">
        <v>113</v>
      </c>
      <c r="AE11" s="103" t="s">
        <v>18</v>
      </c>
      <c r="AF11" s="102" t="s">
        <v>112</v>
      </c>
      <c r="AG11" s="103" t="s">
        <v>18</v>
      </c>
      <c r="AH11" s="103" t="s">
        <v>18</v>
      </c>
      <c r="AI11" s="103" t="s">
        <v>18</v>
      </c>
      <c r="AJ11" s="103" t="s">
        <v>18</v>
      </c>
      <c r="AK11" s="103" t="s">
        <v>18</v>
      </c>
      <c r="AL11" s="102" t="s">
        <v>112</v>
      </c>
      <c r="AM11" s="103" t="s">
        <v>18</v>
      </c>
      <c r="AN11" s="103" t="s">
        <v>18</v>
      </c>
      <c r="AO11" s="103" t="s">
        <v>18</v>
      </c>
      <c r="AP11" s="102" t="s">
        <v>112</v>
      </c>
      <c r="AQ11" s="105"/>
    </row>
    <row r="12" spans="1:43" s="118" customFormat="1" ht="17.25" customHeight="1" x14ac:dyDescent="0.25">
      <c r="A12" s="106">
        <v>1</v>
      </c>
      <c r="B12" s="107"/>
      <c r="C12" s="108" t="s">
        <v>115</v>
      </c>
      <c r="D12" s="109"/>
      <c r="E12" s="110">
        <v>1</v>
      </c>
      <c r="F12" s="111">
        <v>1</v>
      </c>
      <c r="G12" s="112">
        <v>3</v>
      </c>
      <c r="H12" s="112">
        <v>4</v>
      </c>
      <c r="I12" s="112">
        <v>5</v>
      </c>
      <c r="J12" s="113">
        <v>6</v>
      </c>
      <c r="K12" s="111">
        <v>7</v>
      </c>
      <c r="L12" s="113">
        <v>8</v>
      </c>
      <c r="M12" s="114">
        <v>9</v>
      </c>
      <c r="N12" s="115">
        <v>10</v>
      </c>
      <c r="O12" s="112">
        <v>11</v>
      </c>
      <c r="P12" s="113">
        <v>12</v>
      </c>
      <c r="Q12" s="113">
        <v>13</v>
      </c>
      <c r="R12" s="111">
        <v>14</v>
      </c>
      <c r="S12" s="113">
        <v>15</v>
      </c>
      <c r="T12" s="111">
        <v>16</v>
      </c>
      <c r="U12" s="113">
        <v>17</v>
      </c>
      <c r="V12" s="112">
        <v>18</v>
      </c>
      <c r="W12" s="116">
        <v>19</v>
      </c>
      <c r="X12" s="111">
        <v>20</v>
      </c>
      <c r="Y12" s="112">
        <v>21</v>
      </c>
      <c r="Z12" s="112">
        <v>22</v>
      </c>
      <c r="AA12" s="111">
        <v>23</v>
      </c>
      <c r="AB12" s="113">
        <v>24</v>
      </c>
      <c r="AC12" s="113">
        <v>25</v>
      </c>
      <c r="AD12" s="112">
        <v>26</v>
      </c>
      <c r="AE12" s="112">
        <v>27</v>
      </c>
      <c r="AF12" s="111">
        <v>28</v>
      </c>
      <c r="AG12" s="112">
        <v>29</v>
      </c>
      <c r="AH12" s="113">
        <v>30</v>
      </c>
      <c r="AI12" s="113">
        <v>31</v>
      </c>
      <c r="AJ12" s="113">
        <v>32</v>
      </c>
      <c r="AK12" s="113">
        <v>33</v>
      </c>
      <c r="AL12" s="111">
        <v>34</v>
      </c>
      <c r="AM12" s="113">
        <v>35</v>
      </c>
      <c r="AN12" s="113">
        <v>36</v>
      </c>
      <c r="AO12" s="113">
        <v>37</v>
      </c>
      <c r="AP12" s="111">
        <v>38</v>
      </c>
      <c r="AQ12" s="117" t="s">
        <v>17</v>
      </c>
    </row>
    <row r="13" spans="1:43" s="118" customFormat="1" ht="17.25" customHeight="1" x14ac:dyDescent="0.25">
      <c r="A13" s="119"/>
      <c r="B13" s="120"/>
      <c r="C13" s="121"/>
      <c r="D13" s="122"/>
      <c r="E13" s="123">
        <v>1</v>
      </c>
      <c r="F13" s="111">
        <v>1</v>
      </c>
      <c r="G13" s="112">
        <v>1</v>
      </c>
      <c r="H13" s="112">
        <v>1</v>
      </c>
      <c r="I13" s="112">
        <v>1</v>
      </c>
      <c r="J13" s="113">
        <v>1</v>
      </c>
      <c r="K13" s="111">
        <v>1</v>
      </c>
      <c r="L13" s="113">
        <v>1</v>
      </c>
      <c r="M13" s="114">
        <v>1</v>
      </c>
      <c r="N13" s="115">
        <v>1</v>
      </c>
      <c r="O13" s="112">
        <v>1</v>
      </c>
      <c r="P13" s="113">
        <v>1</v>
      </c>
      <c r="Q13" s="113">
        <v>1</v>
      </c>
      <c r="R13" s="111">
        <v>1</v>
      </c>
      <c r="S13" s="113">
        <v>1</v>
      </c>
      <c r="T13" s="111">
        <v>1</v>
      </c>
      <c r="U13" s="113">
        <v>1</v>
      </c>
      <c r="V13" s="112">
        <v>1</v>
      </c>
      <c r="W13" s="124">
        <v>1</v>
      </c>
      <c r="X13" s="111">
        <v>1</v>
      </c>
      <c r="Y13" s="112">
        <v>1</v>
      </c>
      <c r="Z13" s="112">
        <v>1</v>
      </c>
      <c r="AA13" s="111">
        <v>1</v>
      </c>
      <c r="AB13" s="113">
        <v>1</v>
      </c>
      <c r="AC13" s="113">
        <v>1</v>
      </c>
      <c r="AD13" s="112">
        <v>1</v>
      </c>
      <c r="AE13" s="113">
        <v>1</v>
      </c>
      <c r="AF13" s="111">
        <v>1</v>
      </c>
      <c r="AG13" s="112">
        <v>1</v>
      </c>
      <c r="AH13" s="113">
        <v>1</v>
      </c>
      <c r="AI13" s="113">
        <v>1</v>
      </c>
      <c r="AJ13" s="113">
        <v>1</v>
      </c>
      <c r="AK13" s="113">
        <v>1</v>
      </c>
      <c r="AL13" s="111">
        <v>1</v>
      </c>
      <c r="AM13" s="113">
        <v>1</v>
      </c>
      <c r="AN13" s="113">
        <v>1</v>
      </c>
      <c r="AO13" s="113">
        <v>1</v>
      </c>
      <c r="AP13" s="111">
        <v>1</v>
      </c>
      <c r="AQ13" s="117"/>
    </row>
    <row r="14" spans="1:43" s="49" customFormat="1" ht="51" x14ac:dyDescent="0.2">
      <c r="A14" s="129"/>
      <c r="B14" s="130"/>
      <c r="C14" s="137" t="s">
        <v>117</v>
      </c>
      <c r="D14" s="132" t="s">
        <v>9</v>
      </c>
      <c r="E14" s="133"/>
      <c r="F14" s="141"/>
      <c r="G14" s="127"/>
      <c r="H14" s="142"/>
      <c r="I14" s="105"/>
      <c r="J14" s="105"/>
      <c r="K14" s="141"/>
      <c r="L14" s="139"/>
      <c r="M14" s="143"/>
      <c r="N14" s="135"/>
      <c r="O14" s="139"/>
      <c r="P14" s="105"/>
      <c r="Q14" s="105"/>
      <c r="R14" s="141"/>
      <c r="S14" s="105"/>
      <c r="T14" s="141"/>
      <c r="U14" s="139"/>
      <c r="V14" s="103"/>
      <c r="W14" s="136"/>
      <c r="X14" s="141"/>
      <c r="Y14" s="103"/>
      <c r="Z14" s="139"/>
      <c r="AA14" s="141"/>
      <c r="AB14" s="139"/>
      <c r="AC14" s="139"/>
      <c r="AD14" s="103">
        <v>3</v>
      </c>
      <c r="AE14" s="105"/>
      <c r="AF14" s="141"/>
      <c r="AG14" s="103"/>
      <c r="AH14" s="139"/>
      <c r="AI14" s="139"/>
      <c r="AJ14" s="139"/>
      <c r="AK14" s="139"/>
      <c r="AL14" s="141"/>
      <c r="AM14" s="139"/>
      <c r="AN14" s="139"/>
      <c r="AO14" s="139"/>
      <c r="AP14" s="141"/>
      <c r="AQ14" s="144">
        <f t="shared" ref="AQ14:AQ77" si="0">SUM(E14:AP14)</f>
        <v>3</v>
      </c>
    </row>
    <row r="15" spans="1:43" s="49" customFormat="1" ht="51" x14ac:dyDescent="0.2">
      <c r="A15" s="274"/>
      <c r="B15" s="275"/>
      <c r="C15" s="137" t="s">
        <v>118</v>
      </c>
      <c r="D15" s="132" t="s">
        <v>9</v>
      </c>
      <c r="E15" s="125"/>
      <c r="F15" s="141"/>
      <c r="G15" s="127"/>
      <c r="H15" s="142"/>
      <c r="I15" s="145"/>
      <c r="J15" s="105"/>
      <c r="K15" s="141"/>
      <c r="L15" s="105"/>
      <c r="M15" s="128"/>
      <c r="N15" s="135"/>
      <c r="O15" s="103"/>
      <c r="P15" s="105"/>
      <c r="Q15" s="105"/>
      <c r="R15" s="141"/>
      <c r="S15" s="105"/>
      <c r="T15" s="141"/>
      <c r="U15" s="105"/>
      <c r="V15" s="103"/>
      <c r="W15" s="136"/>
      <c r="X15" s="141"/>
      <c r="Y15" s="103"/>
      <c r="Z15" s="103"/>
      <c r="AA15" s="141"/>
      <c r="AB15" s="139"/>
      <c r="AC15" s="139"/>
      <c r="AD15" s="103"/>
      <c r="AE15" s="105"/>
      <c r="AF15" s="141"/>
      <c r="AG15" s="103"/>
      <c r="AH15" s="139"/>
      <c r="AI15" s="139"/>
      <c r="AJ15" s="139"/>
      <c r="AK15" s="139"/>
      <c r="AL15" s="141"/>
      <c r="AM15" s="139"/>
      <c r="AN15" s="139"/>
      <c r="AO15" s="139"/>
      <c r="AP15" s="141"/>
      <c r="AQ15" s="144">
        <f t="shared" si="0"/>
        <v>0</v>
      </c>
    </row>
    <row r="16" spans="1:43" s="49" customFormat="1" ht="25.5" customHeight="1" x14ac:dyDescent="0.2">
      <c r="A16" s="274"/>
      <c r="B16" s="275"/>
      <c r="C16" s="276" t="s">
        <v>119</v>
      </c>
      <c r="D16" s="132" t="s">
        <v>9</v>
      </c>
      <c r="E16" s="133">
        <v>0</v>
      </c>
      <c r="F16" s="268">
        <v>6</v>
      </c>
      <c r="G16" s="278"/>
      <c r="H16" s="266"/>
      <c r="I16" s="266">
        <f>3*I15</f>
        <v>0</v>
      </c>
      <c r="J16" s="266"/>
      <c r="K16" s="268">
        <v>6</v>
      </c>
      <c r="L16" s="266"/>
      <c r="M16" s="270"/>
      <c r="N16" s="272">
        <v>6</v>
      </c>
      <c r="O16" s="278"/>
      <c r="P16" s="266"/>
      <c r="Q16" s="266"/>
      <c r="R16" s="268">
        <v>6</v>
      </c>
      <c r="S16" s="266"/>
      <c r="T16" s="268">
        <v>6</v>
      </c>
      <c r="U16" s="266"/>
      <c r="V16" s="278"/>
      <c r="W16" s="266"/>
      <c r="X16" s="268">
        <v>6</v>
      </c>
      <c r="Y16" s="278"/>
      <c r="Z16" s="278"/>
      <c r="AA16" s="268">
        <v>6</v>
      </c>
      <c r="AB16" s="278"/>
      <c r="AC16" s="278"/>
      <c r="AD16" s="278">
        <f>4*AD14</f>
        <v>12</v>
      </c>
      <c r="AE16" s="266"/>
      <c r="AF16" s="268">
        <v>6</v>
      </c>
      <c r="AG16" s="278"/>
      <c r="AH16" s="278"/>
      <c r="AI16" s="278"/>
      <c r="AJ16" s="278"/>
      <c r="AK16" s="278"/>
      <c r="AL16" s="268">
        <v>6</v>
      </c>
      <c r="AM16" s="278"/>
      <c r="AN16" s="278"/>
      <c r="AO16" s="278"/>
      <c r="AP16" s="268">
        <v>6</v>
      </c>
      <c r="AQ16" s="144">
        <f t="shared" si="0"/>
        <v>72</v>
      </c>
    </row>
    <row r="17" spans="1:43" s="49" customFormat="1" x14ac:dyDescent="0.2">
      <c r="A17" s="274"/>
      <c r="B17" s="275"/>
      <c r="C17" s="277"/>
      <c r="D17" s="132" t="s">
        <v>9</v>
      </c>
      <c r="E17" s="280">
        <f>E16</f>
        <v>0</v>
      </c>
      <c r="F17" s="269"/>
      <c r="G17" s="279"/>
      <c r="H17" s="267"/>
      <c r="I17" s="267"/>
      <c r="J17" s="267"/>
      <c r="K17" s="269"/>
      <c r="L17" s="267"/>
      <c r="M17" s="271"/>
      <c r="N17" s="273"/>
      <c r="O17" s="279"/>
      <c r="P17" s="267"/>
      <c r="Q17" s="267"/>
      <c r="R17" s="269"/>
      <c r="S17" s="267"/>
      <c r="T17" s="269"/>
      <c r="U17" s="267"/>
      <c r="V17" s="279"/>
      <c r="W17" s="267"/>
      <c r="X17" s="269"/>
      <c r="Y17" s="279"/>
      <c r="Z17" s="279"/>
      <c r="AA17" s="269"/>
      <c r="AB17" s="279"/>
      <c r="AC17" s="279"/>
      <c r="AD17" s="279"/>
      <c r="AE17" s="267"/>
      <c r="AF17" s="269"/>
      <c r="AG17" s="279"/>
      <c r="AH17" s="279"/>
      <c r="AI17" s="279"/>
      <c r="AJ17" s="279"/>
      <c r="AK17" s="279"/>
      <c r="AL17" s="269"/>
      <c r="AM17" s="279"/>
      <c r="AN17" s="279"/>
      <c r="AO17" s="279"/>
      <c r="AP17" s="269"/>
      <c r="AQ17" s="144">
        <f t="shared" si="0"/>
        <v>0</v>
      </c>
    </row>
    <row r="18" spans="1:43" s="49" customFormat="1" x14ac:dyDescent="0.2">
      <c r="A18" s="274"/>
      <c r="B18" s="275"/>
      <c r="C18" s="276" t="s">
        <v>120</v>
      </c>
      <c r="D18" s="132" t="s">
        <v>9</v>
      </c>
      <c r="E18" s="281"/>
      <c r="F18" s="268">
        <v>6</v>
      </c>
      <c r="G18" s="278"/>
      <c r="H18" s="266"/>
      <c r="I18" s="266">
        <f>I16</f>
        <v>0</v>
      </c>
      <c r="J18" s="266"/>
      <c r="K18" s="268">
        <v>6</v>
      </c>
      <c r="L18" s="266"/>
      <c r="M18" s="270"/>
      <c r="N18" s="272">
        <v>6</v>
      </c>
      <c r="O18" s="278"/>
      <c r="P18" s="266"/>
      <c r="Q18" s="266"/>
      <c r="R18" s="268">
        <v>6</v>
      </c>
      <c r="S18" s="266"/>
      <c r="T18" s="268">
        <v>6</v>
      </c>
      <c r="U18" s="266"/>
      <c r="V18" s="278"/>
      <c r="W18" s="266"/>
      <c r="X18" s="268">
        <v>6</v>
      </c>
      <c r="Y18" s="278"/>
      <c r="Z18" s="278"/>
      <c r="AA18" s="268">
        <v>6</v>
      </c>
      <c r="AB18" s="278"/>
      <c r="AC18" s="278"/>
      <c r="AD18" s="278">
        <f>AD16</f>
        <v>12</v>
      </c>
      <c r="AE18" s="266"/>
      <c r="AF18" s="268">
        <v>6</v>
      </c>
      <c r="AG18" s="278"/>
      <c r="AH18" s="278"/>
      <c r="AI18" s="278"/>
      <c r="AJ18" s="278"/>
      <c r="AK18" s="278"/>
      <c r="AL18" s="268">
        <v>6</v>
      </c>
      <c r="AM18" s="278"/>
      <c r="AN18" s="278"/>
      <c r="AO18" s="278"/>
      <c r="AP18" s="268">
        <v>6</v>
      </c>
      <c r="AQ18" s="144">
        <f t="shared" si="0"/>
        <v>72</v>
      </c>
    </row>
    <row r="19" spans="1:43" s="49" customFormat="1" x14ac:dyDescent="0.2">
      <c r="A19" s="274"/>
      <c r="B19" s="275"/>
      <c r="C19" s="277"/>
      <c r="D19" s="132" t="s">
        <v>9</v>
      </c>
      <c r="E19" s="133"/>
      <c r="F19" s="269"/>
      <c r="G19" s="279"/>
      <c r="H19" s="267"/>
      <c r="I19" s="267"/>
      <c r="J19" s="267"/>
      <c r="K19" s="269"/>
      <c r="L19" s="267"/>
      <c r="M19" s="271"/>
      <c r="N19" s="273"/>
      <c r="O19" s="279"/>
      <c r="P19" s="267"/>
      <c r="Q19" s="267"/>
      <c r="R19" s="269"/>
      <c r="S19" s="267"/>
      <c r="T19" s="269"/>
      <c r="U19" s="267"/>
      <c r="V19" s="279"/>
      <c r="W19" s="267"/>
      <c r="X19" s="269"/>
      <c r="Y19" s="279"/>
      <c r="Z19" s="279"/>
      <c r="AA19" s="269"/>
      <c r="AB19" s="279"/>
      <c r="AC19" s="279"/>
      <c r="AD19" s="279"/>
      <c r="AE19" s="267"/>
      <c r="AF19" s="269"/>
      <c r="AG19" s="279"/>
      <c r="AH19" s="279"/>
      <c r="AI19" s="279"/>
      <c r="AJ19" s="279"/>
      <c r="AK19" s="279"/>
      <c r="AL19" s="269"/>
      <c r="AM19" s="279"/>
      <c r="AN19" s="279"/>
      <c r="AO19" s="279"/>
      <c r="AP19" s="269"/>
      <c r="AQ19" s="144">
        <f t="shared" si="0"/>
        <v>0</v>
      </c>
    </row>
    <row r="20" spans="1:43" s="49" customFormat="1" x14ac:dyDescent="0.2">
      <c r="A20" s="274"/>
      <c r="B20" s="275"/>
      <c r="C20" s="288" t="s">
        <v>121</v>
      </c>
      <c r="D20" s="132" t="s">
        <v>9</v>
      </c>
      <c r="E20" s="133">
        <f>E17</f>
        <v>0</v>
      </c>
      <c r="F20" s="284">
        <v>6</v>
      </c>
      <c r="G20" s="280"/>
      <c r="H20" s="282"/>
      <c r="I20" s="282">
        <f>I18</f>
        <v>0</v>
      </c>
      <c r="J20" s="282"/>
      <c r="K20" s="284">
        <v>6</v>
      </c>
      <c r="L20" s="282"/>
      <c r="M20" s="286"/>
      <c r="N20" s="272">
        <v>6</v>
      </c>
      <c r="O20" s="280"/>
      <c r="P20" s="282"/>
      <c r="Q20" s="282"/>
      <c r="R20" s="284">
        <v>6</v>
      </c>
      <c r="S20" s="282"/>
      <c r="T20" s="284">
        <v>6</v>
      </c>
      <c r="U20" s="282"/>
      <c r="V20" s="290"/>
      <c r="W20" s="282"/>
      <c r="X20" s="284">
        <v>6</v>
      </c>
      <c r="Y20" s="290"/>
      <c r="Z20" s="280"/>
      <c r="AA20" s="284">
        <v>6</v>
      </c>
      <c r="AB20" s="280"/>
      <c r="AC20" s="280"/>
      <c r="AD20" s="290">
        <f>AD18</f>
        <v>12</v>
      </c>
      <c r="AE20" s="282"/>
      <c r="AF20" s="284">
        <v>6</v>
      </c>
      <c r="AG20" s="290"/>
      <c r="AH20" s="280"/>
      <c r="AI20" s="280"/>
      <c r="AJ20" s="280"/>
      <c r="AK20" s="280"/>
      <c r="AL20" s="284">
        <v>6</v>
      </c>
      <c r="AM20" s="280"/>
      <c r="AN20" s="280"/>
      <c r="AO20" s="280"/>
      <c r="AP20" s="284">
        <v>6</v>
      </c>
      <c r="AQ20" s="144">
        <f t="shared" si="0"/>
        <v>72</v>
      </c>
    </row>
    <row r="21" spans="1:43" s="49" customFormat="1" x14ac:dyDescent="0.2">
      <c r="A21" s="294"/>
      <c r="B21" s="295"/>
      <c r="C21" s="289"/>
      <c r="D21" s="132" t="s">
        <v>9</v>
      </c>
      <c r="E21" s="133"/>
      <c r="F21" s="285"/>
      <c r="G21" s="281"/>
      <c r="H21" s="283"/>
      <c r="I21" s="283"/>
      <c r="J21" s="283"/>
      <c r="K21" s="285"/>
      <c r="L21" s="283"/>
      <c r="M21" s="287"/>
      <c r="N21" s="273"/>
      <c r="O21" s="281"/>
      <c r="P21" s="283"/>
      <c r="Q21" s="283"/>
      <c r="R21" s="285"/>
      <c r="S21" s="283"/>
      <c r="T21" s="285"/>
      <c r="U21" s="283"/>
      <c r="V21" s="291"/>
      <c r="W21" s="283"/>
      <c r="X21" s="285"/>
      <c r="Y21" s="291"/>
      <c r="Z21" s="281"/>
      <c r="AA21" s="285"/>
      <c r="AB21" s="281"/>
      <c r="AC21" s="281"/>
      <c r="AD21" s="291"/>
      <c r="AE21" s="283"/>
      <c r="AF21" s="285"/>
      <c r="AG21" s="291"/>
      <c r="AH21" s="281"/>
      <c r="AI21" s="281"/>
      <c r="AJ21" s="281"/>
      <c r="AK21" s="281"/>
      <c r="AL21" s="285"/>
      <c r="AM21" s="281"/>
      <c r="AN21" s="281"/>
      <c r="AO21" s="281"/>
      <c r="AP21" s="285"/>
      <c r="AQ21" s="144">
        <f t="shared" si="0"/>
        <v>0</v>
      </c>
    </row>
    <row r="22" spans="1:43" s="146" customFormat="1" ht="38.25" x14ac:dyDescent="0.2">
      <c r="A22" s="294"/>
      <c r="B22" s="295"/>
      <c r="C22" s="137" t="s">
        <v>122</v>
      </c>
      <c r="D22" s="132" t="s">
        <v>9</v>
      </c>
      <c r="E22" s="133"/>
      <c r="F22" s="134"/>
      <c r="G22" s="127"/>
      <c r="H22" s="142"/>
      <c r="I22" s="105"/>
      <c r="J22" s="105"/>
      <c r="K22" s="134"/>
      <c r="L22" s="105"/>
      <c r="M22" s="143"/>
      <c r="N22" s="135"/>
      <c r="O22" s="139"/>
      <c r="P22" s="105"/>
      <c r="Q22" s="105"/>
      <c r="R22" s="134"/>
      <c r="S22" s="105"/>
      <c r="T22" s="134"/>
      <c r="U22" s="105"/>
      <c r="V22" s="103"/>
      <c r="W22" s="136"/>
      <c r="X22" s="134"/>
      <c r="Y22" s="103"/>
      <c r="Z22" s="139"/>
      <c r="AA22" s="134"/>
      <c r="AB22" s="139"/>
      <c r="AC22" s="139"/>
      <c r="AD22" s="103"/>
      <c r="AE22" s="105"/>
      <c r="AF22" s="134"/>
      <c r="AG22" s="103"/>
      <c r="AH22" s="139"/>
      <c r="AI22" s="139"/>
      <c r="AJ22" s="139"/>
      <c r="AK22" s="139"/>
      <c r="AL22" s="134"/>
      <c r="AM22" s="139"/>
      <c r="AN22" s="139"/>
      <c r="AO22" s="139"/>
      <c r="AP22" s="134"/>
      <c r="AQ22" s="144">
        <f t="shared" si="0"/>
        <v>0</v>
      </c>
    </row>
    <row r="23" spans="1:43" s="146" customFormat="1" ht="26.25" customHeight="1" x14ac:dyDescent="0.2">
      <c r="A23" s="294"/>
      <c r="B23" s="295"/>
      <c r="C23" s="137" t="s">
        <v>123</v>
      </c>
      <c r="D23" s="132" t="s">
        <v>9</v>
      </c>
      <c r="E23" s="133"/>
      <c r="F23" s="134"/>
      <c r="G23" s="127"/>
      <c r="H23" s="142"/>
      <c r="I23" s="105"/>
      <c r="J23" s="105"/>
      <c r="K23" s="134"/>
      <c r="L23" s="105"/>
      <c r="M23" s="143"/>
      <c r="N23" s="135"/>
      <c r="O23" s="139"/>
      <c r="P23" s="105"/>
      <c r="Q23" s="105"/>
      <c r="R23" s="134"/>
      <c r="S23" s="105"/>
      <c r="T23" s="134"/>
      <c r="U23" s="105"/>
      <c r="V23" s="103"/>
      <c r="W23" s="136"/>
      <c r="X23" s="134"/>
      <c r="Y23" s="103"/>
      <c r="Z23" s="139"/>
      <c r="AA23" s="134"/>
      <c r="AB23" s="139"/>
      <c r="AC23" s="139"/>
      <c r="AD23" s="103"/>
      <c r="AE23" s="105"/>
      <c r="AF23" s="134"/>
      <c r="AG23" s="103"/>
      <c r="AH23" s="139"/>
      <c r="AI23" s="139"/>
      <c r="AJ23" s="139"/>
      <c r="AK23" s="139"/>
      <c r="AL23" s="134"/>
      <c r="AM23" s="139"/>
      <c r="AN23" s="139"/>
      <c r="AO23" s="139"/>
      <c r="AP23" s="134"/>
      <c r="AQ23" s="144">
        <f t="shared" si="0"/>
        <v>0</v>
      </c>
    </row>
    <row r="24" spans="1:43" s="53" customFormat="1" ht="25.5" x14ac:dyDescent="0.2">
      <c r="A24" s="274"/>
      <c r="B24" s="275"/>
      <c r="C24" s="137" t="s">
        <v>124</v>
      </c>
      <c r="D24" s="132" t="s">
        <v>9</v>
      </c>
      <c r="E24" s="133"/>
      <c r="F24" s="141"/>
      <c r="G24" s="127"/>
      <c r="H24" s="142"/>
      <c r="I24" s="105"/>
      <c r="J24" s="105"/>
      <c r="K24" s="141"/>
      <c r="L24" s="105"/>
      <c r="M24" s="143"/>
      <c r="N24" s="135"/>
      <c r="O24" s="139"/>
      <c r="P24" s="105"/>
      <c r="Q24" s="105"/>
      <c r="R24" s="141"/>
      <c r="S24" s="105"/>
      <c r="T24" s="141"/>
      <c r="U24" s="105"/>
      <c r="V24" s="103"/>
      <c r="W24" s="136"/>
      <c r="X24" s="141"/>
      <c r="Y24" s="103"/>
      <c r="Z24" s="139"/>
      <c r="AA24" s="141"/>
      <c r="AB24" s="139"/>
      <c r="AC24" s="139"/>
      <c r="AD24" s="103">
        <v>3</v>
      </c>
      <c r="AE24" s="105"/>
      <c r="AF24" s="141"/>
      <c r="AG24" s="103"/>
      <c r="AH24" s="139"/>
      <c r="AI24" s="139"/>
      <c r="AJ24" s="139"/>
      <c r="AK24" s="139"/>
      <c r="AL24" s="141"/>
      <c r="AM24" s="139"/>
      <c r="AN24" s="139"/>
      <c r="AO24" s="139"/>
      <c r="AP24" s="141"/>
      <c r="AQ24" s="144">
        <f t="shared" si="0"/>
        <v>3</v>
      </c>
    </row>
    <row r="25" spans="1:43" s="160" customFormat="1" x14ac:dyDescent="0.2">
      <c r="A25" s="147"/>
      <c r="B25" s="148"/>
      <c r="C25" s="149" t="s">
        <v>125</v>
      </c>
      <c r="D25" s="150"/>
      <c r="E25" s="151"/>
      <c r="F25" s="152"/>
      <c r="G25" s="153"/>
      <c r="H25" s="154"/>
      <c r="I25" s="155"/>
      <c r="J25" s="155"/>
      <c r="K25" s="152"/>
      <c r="L25" s="155"/>
      <c r="M25" s="155"/>
      <c r="N25" s="156">
        <v>3</v>
      </c>
      <c r="O25" s="157"/>
      <c r="P25" s="155"/>
      <c r="Q25" s="155"/>
      <c r="R25" s="152"/>
      <c r="S25" s="155"/>
      <c r="T25" s="152"/>
      <c r="U25" s="155"/>
      <c r="V25" s="156"/>
      <c r="W25" s="158"/>
      <c r="X25" s="152"/>
      <c r="Y25" s="156"/>
      <c r="Z25" s="157"/>
      <c r="AA25" s="152"/>
      <c r="AB25" s="157"/>
      <c r="AC25" s="157"/>
      <c r="AD25" s="159"/>
      <c r="AE25" s="155"/>
      <c r="AF25" s="152">
        <v>3</v>
      </c>
      <c r="AG25" s="156"/>
      <c r="AH25" s="157"/>
      <c r="AI25" s="157"/>
      <c r="AJ25" s="157"/>
      <c r="AK25" s="157"/>
      <c r="AL25" s="152"/>
      <c r="AM25" s="157"/>
      <c r="AN25" s="157"/>
      <c r="AO25" s="157"/>
      <c r="AP25" s="152"/>
      <c r="AQ25" s="144">
        <f t="shared" si="0"/>
        <v>6</v>
      </c>
    </row>
    <row r="26" spans="1:43" s="49" customFormat="1" x14ac:dyDescent="0.2">
      <c r="A26" s="274"/>
      <c r="B26" s="275"/>
      <c r="C26" s="137" t="s">
        <v>126</v>
      </c>
      <c r="D26" s="132" t="s">
        <v>9</v>
      </c>
      <c r="E26" s="133"/>
      <c r="F26" s="141"/>
      <c r="G26" s="127"/>
      <c r="H26" s="142"/>
      <c r="I26" s="105"/>
      <c r="J26" s="105"/>
      <c r="K26" s="141"/>
      <c r="L26" s="105"/>
      <c r="M26" s="143"/>
      <c r="N26" s="102">
        <v>3</v>
      </c>
      <c r="O26" s="139"/>
      <c r="P26" s="105"/>
      <c r="Q26" s="105"/>
      <c r="R26" s="141"/>
      <c r="S26" s="105"/>
      <c r="T26" s="141"/>
      <c r="U26" s="105"/>
      <c r="V26" s="103"/>
      <c r="W26" s="136"/>
      <c r="X26" s="141"/>
      <c r="Y26" s="103"/>
      <c r="Z26" s="139"/>
      <c r="AA26" s="141"/>
      <c r="AB26" s="139"/>
      <c r="AC26" s="139"/>
      <c r="AD26" s="145"/>
      <c r="AE26" s="105"/>
      <c r="AF26" s="141">
        <v>3</v>
      </c>
      <c r="AG26" s="103"/>
      <c r="AH26" s="139"/>
      <c r="AI26" s="139"/>
      <c r="AJ26" s="139"/>
      <c r="AK26" s="139"/>
      <c r="AL26" s="141"/>
      <c r="AM26" s="139"/>
      <c r="AN26" s="139"/>
      <c r="AO26" s="139"/>
      <c r="AP26" s="141"/>
      <c r="AQ26" s="144">
        <f t="shared" si="0"/>
        <v>6</v>
      </c>
    </row>
    <row r="27" spans="1:43" ht="38.25" x14ac:dyDescent="0.2">
      <c r="A27" s="274"/>
      <c r="B27" s="275"/>
      <c r="C27" s="137" t="s">
        <v>127</v>
      </c>
      <c r="D27" s="132" t="s">
        <v>9</v>
      </c>
      <c r="E27" s="133"/>
      <c r="F27" s="141"/>
      <c r="G27" s="127"/>
      <c r="H27" s="142"/>
      <c r="I27" s="105"/>
      <c r="J27" s="105"/>
      <c r="K27" s="141"/>
      <c r="L27" s="105"/>
      <c r="M27" s="143"/>
      <c r="N27" s="135"/>
      <c r="O27" s="139"/>
      <c r="P27" s="105"/>
      <c r="Q27" s="105"/>
      <c r="R27" s="141"/>
      <c r="S27" s="105"/>
      <c r="T27" s="141"/>
      <c r="U27" s="105"/>
      <c r="V27" s="103"/>
      <c r="W27" s="136"/>
      <c r="X27" s="141"/>
      <c r="Y27" s="103"/>
      <c r="Z27" s="139"/>
      <c r="AA27" s="141"/>
      <c r="AB27" s="139"/>
      <c r="AC27" s="139"/>
      <c r="AD27" s="145"/>
      <c r="AE27" s="105"/>
      <c r="AF27" s="141"/>
      <c r="AG27" s="103"/>
      <c r="AH27" s="139"/>
      <c r="AI27" s="139"/>
      <c r="AJ27" s="139"/>
      <c r="AK27" s="139"/>
      <c r="AL27" s="141"/>
      <c r="AM27" s="139"/>
      <c r="AN27" s="139"/>
      <c r="AO27" s="139"/>
      <c r="AP27" s="141"/>
      <c r="AQ27" s="144">
        <f t="shared" si="0"/>
        <v>0</v>
      </c>
    </row>
    <row r="28" spans="1:43" s="49" customFormat="1" ht="25.5" x14ac:dyDescent="0.2">
      <c r="A28" s="292"/>
      <c r="B28" s="293"/>
      <c r="C28" s="161" t="s">
        <v>128</v>
      </c>
      <c r="D28" s="162" t="s">
        <v>9</v>
      </c>
      <c r="E28" s="133">
        <v>0</v>
      </c>
      <c r="F28" s="141">
        <v>3</v>
      </c>
      <c r="G28" s="127"/>
      <c r="H28" s="145"/>
      <c r="I28" s="103">
        <v>6</v>
      </c>
      <c r="J28" s="105"/>
      <c r="K28" s="141">
        <v>3</v>
      </c>
      <c r="L28" s="105"/>
      <c r="M28" s="104">
        <v>6</v>
      </c>
      <c r="N28" s="135"/>
      <c r="O28" s="103"/>
      <c r="P28" s="105"/>
      <c r="Q28" s="105"/>
      <c r="R28" s="141">
        <v>3</v>
      </c>
      <c r="S28" s="105"/>
      <c r="T28" s="141">
        <v>3</v>
      </c>
      <c r="U28" s="105"/>
      <c r="V28" s="103"/>
      <c r="W28" s="136"/>
      <c r="X28" s="141">
        <v>3</v>
      </c>
      <c r="Y28" s="103"/>
      <c r="Z28" s="103"/>
      <c r="AA28" s="141">
        <v>3</v>
      </c>
      <c r="AB28" s="139"/>
      <c r="AC28" s="139"/>
      <c r="AD28" s="145"/>
      <c r="AE28" s="105"/>
      <c r="AF28" s="141">
        <v>3</v>
      </c>
      <c r="AG28" s="103"/>
      <c r="AH28" s="139"/>
      <c r="AI28" s="139"/>
      <c r="AJ28" s="139"/>
      <c r="AK28" s="139"/>
      <c r="AL28" s="141">
        <v>3</v>
      </c>
      <c r="AM28" s="139"/>
      <c r="AN28" s="139"/>
      <c r="AO28" s="139"/>
      <c r="AP28" s="141">
        <v>3</v>
      </c>
      <c r="AQ28" s="144">
        <f t="shared" si="0"/>
        <v>39</v>
      </c>
    </row>
    <row r="29" spans="1:43" s="49" customFormat="1" x14ac:dyDescent="0.2">
      <c r="A29" s="292"/>
      <c r="B29" s="293"/>
      <c r="C29" s="161" t="s">
        <v>129</v>
      </c>
      <c r="D29" s="162" t="s">
        <v>116</v>
      </c>
      <c r="E29" s="133">
        <v>0</v>
      </c>
      <c r="F29" s="163">
        <f>4*6</f>
        <v>24</v>
      </c>
      <c r="G29" s="164"/>
      <c r="H29" s="165"/>
      <c r="I29" s="103">
        <f>12*3</f>
        <v>36</v>
      </c>
      <c r="J29" s="105"/>
      <c r="K29" s="163">
        <f>4*6</f>
        <v>24</v>
      </c>
      <c r="L29" s="105"/>
      <c r="M29" s="104">
        <f>12*3</f>
        <v>36</v>
      </c>
      <c r="N29" s="102">
        <f>4*6</f>
        <v>24</v>
      </c>
      <c r="O29" s="103"/>
      <c r="P29" s="105"/>
      <c r="Q29" s="105"/>
      <c r="R29" s="163">
        <f>4*6</f>
        <v>24</v>
      </c>
      <c r="S29" s="105"/>
      <c r="T29" s="163">
        <f>4*6</f>
        <v>24</v>
      </c>
      <c r="U29" s="105"/>
      <c r="V29" s="103"/>
      <c r="W29" s="136"/>
      <c r="X29" s="163">
        <f>4*6</f>
        <v>24</v>
      </c>
      <c r="Y29" s="103"/>
      <c r="Z29" s="103"/>
      <c r="AA29" s="163">
        <f>4*6</f>
        <v>24</v>
      </c>
      <c r="AB29" s="139"/>
      <c r="AC29" s="139"/>
      <c r="AD29" s="145"/>
      <c r="AE29" s="105"/>
      <c r="AF29" s="163">
        <f>4*6</f>
        <v>24</v>
      </c>
      <c r="AG29" s="103"/>
      <c r="AH29" s="139"/>
      <c r="AI29" s="139"/>
      <c r="AJ29" s="139"/>
      <c r="AK29" s="139"/>
      <c r="AL29" s="163">
        <f>4*6</f>
        <v>24</v>
      </c>
      <c r="AM29" s="139"/>
      <c r="AN29" s="139"/>
      <c r="AO29" s="139"/>
      <c r="AP29" s="163">
        <f>4*6</f>
        <v>24</v>
      </c>
      <c r="AQ29" s="144">
        <f t="shared" si="0"/>
        <v>312</v>
      </c>
    </row>
    <row r="30" spans="1:43" s="49" customFormat="1" x14ac:dyDescent="0.2">
      <c r="A30" s="292"/>
      <c r="B30" s="293"/>
      <c r="C30" s="161" t="s">
        <v>130</v>
      </c>
      <c r="D30" s="162" t="s">
        <v>9</v>
      </c>
      <c r="E30" s="133">
        <v>0</v>
      </c>
      <c r="F30" s="163">
        <f>6</f>
        <v>6</v>
      </c>
      <c r="G30" s="164"/>
      <c r="H30" s="138"/>
      <c r="I30" s="103">
        <f>9</f>
        <v>9</v>
      </c>
      <c r="J30" s="139"/>
      <c r="K30" s="163">
        <f>6</f>
        <v>6</v>
      </c>
      <c r="L30" s="139"/>
      <c r="M30" s="104">
        <f>9</f>
        <v>9</v>
      </c>
      <c r="N30" s="102">
        <f>6</f>
        <v>6</v>
      </c>
      <c r="O30" s="103"/>
      <c r="P30" s="139"/>
      <c r="Q30" s="139"/>
      <c r="R30" s="163">
        <f>6</f>
        <v>6</v>
      </c>
      <c r="S30" s="139"/>
      <c r="T30" s="163">
        <f>6</f>
        <v>6</v>
      </c>
      <c r="U30" s="139"/>
      <c r="V30" s="103"/>
      <c r="W30" s="133"/>
      <c r="X30" s="163">
        <f>6</f>
        <v>6</v>
      </c>
      <c r="Y30" s="103"/>
      <c r="Z30" s="103"/>
      <c r="AA30" s="163">
        <f>6</f>
        <v>6</v>
      </c>
      <c r="AB30" s="139"/>
      <c r="AC30" s="139"/>
      <c r="AD30" s="145"/>
      <c r="AE30" s="105"/>
      <c r="AF30" s="163">
        <f>6</f>
        <v>6</v>
      </c>
      <c r="AG30" s="103"/>
      <c r="AH30" s="139"/>
      <c r="AI30" s="139"/>
      <c r="AJ30" s="139"/>
      <c r="AK30" s="139"/>
      <c r="AL30" s="163">
        <f>6</f>
        <v>6</v>
      </c>
      <c r="AM30" s="139"/>
      <c r="AN30" s="139"/>
      <c r="AO30" s="139"/>
      <c r="AP30" s="163">
        <f>6</f>
        <v>6</v>
      </c>
      <c r="AQ30" s="144">
        <f t="shared" si="0"/>
        <v>78</v>
      </c>
    </row>
    <row r="31" spans="1:43" s="49" customFormat="1" x14ac:dyDescent="0.2">
      <c r="A31" s="292"/>
      <c r="B31" s="293"/>
      <c r="C31" s="161" t="s">
        <v>131</v>
      </c>
      <c r="D31" s="162" t="s">
        <v>9</v>
      </c>
      <c r="E31" s="133">
        <v>0</v>
      </c>
      <c r="F31" s="163">
        <f>6</f>
        <v>6</v>
      </c>
      <c r="G31" s="164"/>
      <c r="H31" s="142"/>
      <c r="I31" s="103">
        <f>I30</f>
        <v>9</v>
      </c>
      <c r="J31" s="105"/>
      <c r="K31" s="163">
        <f>6</f>
        <v>6</v>
      </c>
      <c r="L31" s="105"/>
      <c r="M31" s="104">
        <f>M30</f>
        <v>9</v>
      </c>
      <c r="N31" s="102">
        <v>6</v>
      </c>
      <c r="O31" s="103"/>
      <c r="P31" s="105"/>
      <c r="Q31" s="105"/>
      <c r="R31" s="163">
        <f>6</f>
        <v>6</v>
      </c>
      <c r="S31" s="105"/>
      <c r="T31" s="163">
        <f>6</f>
        <v>6</v>
      </c>
      <c r="U31" s="105"/>
      <c r="V31" s="103"/>
      <c r="W31" s="136"/>
      <c r="X31" s="163">
        <f>6</f>
        <v>6</v>
      </c>
      <c r="Y31" s="103"/>
      <c r="Z31" s="103"/>
      <c r="AA31" s="163">
        <f>6</f>
        <v>6</v>
      </c>
      <c r="AB31" s="139"/>
      <c r="AC31" s="139"/>
      <c r="AD31" s="145"/>
      <c r="AE31" s="105"/>
      <c r="AF31" s="163">
        <f>6</f>
        <v>6</v>
      </c>
      <c r="AG31" s="103"/>
      <c r="AH31" s="139"/>
      <c r="AI31" s="139"/>
      <c r="AJ31" s="139"/>
      <c r="AK31" s="139"/>
      <c r="AL31" s="163">
        <f>6</f>
        <v>6</v>
      </c>
      <c r="AM31" s="139"/>
      <c r="AN31" s="139"/>
      <c r="AO31" s="139"/>
      <c r="AP31" s="163">
        <f>6</f>
        <v>6</v>
      </c>
      <c r="AQ31" s="144">
        <f t="shared" si="0"/>
        <v>78</v>
      </c>
    </row>
    <row r="32" spans="1:43" s="176" customFormat="1" ht="28.5" customHeight="1" x14ac:dyDescent="0.2">
      <c r="A32" s="296"/>
      <c r="B32" s="297"/>
      <c r="C32" s="166" t="s">
        <v>132</v>
      </c>
      <c r="D32" s="167" t="s">
        <v>133</v>
      </c>
      <c r="E32" s="168"/>
      <c r="F32" s="102">
        <v>1</v>
      </c>
      <c r="G32" s="169"/>
      <c r="H32" s="170"/>
      <c r="I32" s="171">
        <v>0</v>
      </c>
      <c r="J32" s="172"/>
      <c r="K32" s="102">
        <v>1</v>
      </c>
      <c r="L32" s="172"/>
      <c r="M32" s="171">
        <v>0</v>
      </c>
      <c r="N32" s="173">
        <v>1</v>
      </c>
      <c r="O32" s="171"/>
      <c r="P32" s="172"/>
      <c r="Q32" s="172"/>
      <c r="R32" s="102">
        <v>1</v>
      </c>
      <c r="S32" s="172"/>
      <c r="T32" s="102">
        <v>1</v>
      </c>
      <c r="U32" s="172"/>
      <c r="V32" s="171"/>
      <c r="W32" s="174"/>
      <c r="X32" s="102">
        <v>1</v>
      </c>
      <c r="Y32" s="171"/>
      <c r="Z32" s="171"/>
      <c r="AA32" s="102">
        <v>1</v>
      </c>
      <c r="AB32" s="175"/>
      <c r="AC32" s="175"/>
      <c r="AD32" s="171">
        <v>3</v>
      </c>
      <c r="AE32" s="172"/>
      <c r="AF32" s="102">
        <v>1</v>
      </c>
      <c r="AG32" s="171"/>
      <c r="AH32" s="175"/>
      <c r="AI32" s="175"/>
      <c r="AJ32" s="175"/>
      <c r="AK32" s="175"/>
      <c r="AL32" s="102">
        <v>1</v>
      </c>
      <c r="AM32" s="175"/>
      <c r="AN32" s="175"/>
      <c r="AO32" s="175"/>
      <c r="AP32" s="102">
        <v>1</v>
      </c>
      <c r="AQ32" s="144">
        <f t="shared" si="0"/>
        <v>13</v>
      </c>
    </row>
    <row r="33" spans="1:43" s="49" customFormat="1" x14ac:dyDescent="0.2">
      <c r="A33" s="298" t="s">
        <v>134</v>
      </c>
      <c r="B33" s="299"/>
      <c r="C33" s="161" t="s">
        <v>135</v>
      </c>
      <c r="D33" s="162" t="s">
        <v>9</v>
      </c>
      <c r="E33" s="133"/>
      <c r="F33" s="163">
        <f>2*F32</f>
        <v>2</v>
      </c>
      <c r="G33" s="133"/>
      <c r="H33" s="133"/>
      <c r="I33" s="133">
        <f>2*I32</f>
        <v>0</v>
      </c>
      <c r="J33" s="133"/>
      <c r="K33" s="163">
        <f>2*K32</f>
        <v>2</v>
      </c>
      <c r="L33" s="133"/>
      <c r="M33" s="177">
        <f>2*M32</f>
        <v>0</v>
      </c>
      <c r="N33" s="173">
        <f>6*N32</f>
        <v>6</v>
      </c>
      <c r="O33" s="133">
        <f>2*O32</f>
        <v>0</v>
      </c>
      <c r="P33" s="133"/>
      <c r="Q33" s="133"/>
      <c r="R33" s="163">
        <f>2*R32</f>
        <v>2</v>
      </c>
      <c r="S33" s="133"/>
      <c r="T33" s="163">
        <f>2*T32</f>
        <v>2</v>
      </c>
      <c r="U33" s="133"/>
      <c r="V33" s="125"/>
      <c r="W33" s="136"/>
      <c r="X33" s="163">
        <f>2*X32</f>
        <v>2</v>
      </c>
      <c r="Y33" s="125"/>
      <c r="Z33" s="133">
        <f>2*Z32</f>
        <v>0</v>
      </c>
      <c r="AA33" s="163">
        <f>2*AA32</f>
        <v>2</v>
      </c>
      <c r="AB33" s="133"/>
      <c r="AC33" s="133"/>
      <c r="AD33" s="125">
        <f>2*AD32</f>
        <v>6</v>
      </c>
      <c r="AE33" s="136"/>
      <c r="AF33" s="163">
        <f>2*AF32</f>
        <v>2</v>
      </c>
      <c r="AG33" s="125"/>
      <c r="AH33" s="133"/>
      <c r="AI33" s="133"/>
      <c r="AJ33" s="133"/>
      <c r="AK33" s="133"/>
      <c r="AL33" s="163">
        <f>2*AL32</f>
        <v>2</v>
      </c>
      <c r="AM33" s="133"/>
      <c r="AN33" s="133"/>
      <c r="AO33" s="133"/>
      <c r="AP33" s="163">
        <f>2*AP32</f>
        <v>2</v>
      </c>
      <c r="AQ33" s="144">
        <f t="shared" si="0"/>
        <v>30</v>
      </c>
    </row>
    <row r="34" spans="1:43" s="49" customFormat="1" ht="25.5" x14ac:dyDescent="0.2">
      <c r="A34" s="300"/>
      <c r="B34" s="301"/>
      <c r="C34" s="161" t="s">
        <v>136</v>
      </c>
      <c r="D34" s="162" t="s">
        <v>9</v>
      </c>
      <c r="E34" s="133"/>
      <c r="F34" s="163">
        <f>1*F32</f>
        <v>1</v>
      </c>
      <c r="G34" s="133"/>
      <c r="H34" s="133"/>
      <c r="I34" s="133">
        <f>1*I32</f>
        <v>0</v>
      </c>
      <c r="J34" s="133"/>
      <c r="K34" s="163">
        <f>1*K32</f>
        <v>1</v>
      </c>
      <c r="L34" s="133"/>
      <c r="M34" s="177">
        <f>1*M32</f>
        <v>0</v>
      </c>
      <c r="N34" s="173">
        <f>3*N32</f>
        <v>3</v>
      </c>
      <c r="O34" s="133">
        <f>1*O32</f>
        <v>0</v>
      </c>
      <c r="P34" s="133"/>
      <c r="Q34" s="133"/>
      <c r="R34" s="163">
        <f>1*R32</f>
        <v>1</v>
      </c>
      <c r="S34" s="133"/>
      <c r="T34" s="163">
        <f>1*T32</f>
        <v>1</v>
      </c>
      <c r="U34" s="133"/>
      <c r="V34" s="125"/>
      <c r="W34" s="136"/>
      <c r="X34" s="163">
        <f>1*X32</f>
        <v>1</v>
      </c>
      <c r="Y34" s="125"/>
      <c r="Z34" s="133">
        <f>1*Z32</f>
        <v>0</v>
      </c>
      <c r="AA34" s="163">
        <f>1*AA32</f>
        <v>1</v>
      </c>
      <c r="AB34" s="133"/>
      <c r="AC34" s="133"/>
      <c r="AD34" s="125">
        <f>1*AD32</f>
        <v>3</v>
      </c>
      <c r="AE34" s="136"/>
      <c r="AF34" s="163">
        <f>1*AF32</f>
        <v>1</v>
      </c>
      <c r="AG34" s="125"/>
      <c r="AH34" s="133"/>
      <c r="AI34" s="133"/>
      <c r="AJ34" s="133"/>
      <c r="AK34" s="133"/>
      <c r="AL34" s="163">
        <f>1*AL32</f>
        <v>1</v>
      </c>
      <c r="AM34" s="133"/>
      <c r="AN34" s="133"/>
      <c r="AO34" s="133"/>
      <c r="AP34" s="163">
        <f>1*AP32</f>
        <v>1</v>
      </c>
      <c r="AQ34" s="144">
        <f t="shared" si="0"/>
        <v>15</v>
      </c>
    </row>
    <row r="35" spans="1:43" s="49" customFormat="1" ht="25.5" x14ac:dyDescent="0.2">
      <c r="A35" s="300"/>
      <c r="B35" s="301"/>
      <c r="C35" s="161" t="s">
        <v>137</v>
      </c>
      <c r="D35" s="162" t="s">
        <v>9</v>
      </c>
      <c r="E35" s="133"/>
      <c r="F35" s="163"/>
      <c r="G35" s="133"/>
      <c r="H35" s="133"/>
      <c r="I35" s="133">
        <f>2*I32</f>
        <v>0</v>
      </c>
      <c r="J35" s="133"/>
      <c r="K35" s="163"/>
      <c r="L35" s="133"/>
      <c r="M35" s="177">
        <f>2*M32</f>
        <v>0</v>
      </c>
      <c r="N35" s="173">
        <f>6*N32</f>
        <v>6</v>
      </c>
      <c r="O35" s="133">
        <f>2*O32</f>
        <v>0</v>
      </c>
      <c r="P35" s="133"/>
      <c r="Q35" s="133"/>
      <c r="R35" s="163"/>
      <c r="S35" s="133"/>
      <c r="T35" s="163"/>
      <c r="U35" s="133"/>
      <c r="V35" s="125"/>
      <c r="W35" s="136"/>
      <c r="X35" s="163"/>
      <c r="Y35" s="125"/>
      <c r="Z35" s="133">
        <f>2*Z32</f>
        <v>0</v>
      </c>
      <c r="AA35" s="163"/>
      <c r="AB35" s="133"/>
      <c r="AC35" s="133"/>
      <c r="AD35" s="125">
        <f>2*AD32</f>
        <v>6</v>
      </c>
      <c r="AE35" s="136"/>
      <c r="AF35" s="163"/>
      <c r="AG35" s="125"/>
      <c r="AH35" s="133"/>
      <c r="AI35" s="133"/>
      <c r="AJ35" s="133"/>
      <c r="AK35" s="133"/>
      <c r="AL35" s="163"/>
      <c r="AM35" s="133"/>
      <c r="AN35" s="133"/>
      <c r="AO35" s="133"/>
      <c r="AP35" s="163"/>
      <c r="AQ35" s="144">
        <f t="shared" si="0"/>
        <v>12</v>
      </c>
    </row>
    <row r="36" spans="1:43" s="49" customFormat="1" ht="25.5" x14ac:dyDescent="0.2">
      <c r="A36" s="300"/>
      <c r="B36" s="301"/>
      <c r="C36" s="161" t="s">
        <v>138</v>
      </c>
      <c r="D36" s="162" t="s">
        <v>9</v>
      </c>
      <c r="E36" s="133"/>
      <c r="F36" s="163">
        <f>1*F32</f>
        <v>1</v>
      </c>
      <c r="G36" s="133"/>
      <c r="H36" s="133"/>
      <c r="I36" s="133">
        <f>1*I32</f>
        <v>0</v>
      </c>
      <c r="J36" s="133"/>
      <c r="K36" s="163">
        <f>1*K32</f>
        <v>1</v>
      </c>
      <c r="L36" s="133"/>
      <c r="M36" s="177">
        <f>1*M32</f>
        <v>0</v>
      </c>
      <c r="N36" s="173">
        <f>6*N32</f>
        <v>6</v>
      </c>
      <c r="O36" s="133">
        <f>1*O32</f>
        <v>0</v>
      </c>
      <c r="P36" s="133"/>
      <c r="Q36" s="133"/>
      <c r="R36" s="163">
        <f>1.5*R32</f>
        <v>1.5</v>
      </c>
      <c r="S36" s="133"/>
      <c r="T36" s="163">
        <f>1.5*T32</f>
        <v>1.5</v>
      </c>
      <c r="U36" s="133"/>
      <c r="V36" s="125"/>
      <c r="W36" s="136"/>
      <c r="X36" s="163">
        <f>1.5*X32</f>
        <v>1.5</v>
      </c>
      <c r="Y36" s="125"/>
      <c r="Z36" s="133">
        <f>1*Z32</f>
        <v>0</v>
      </c>
      <c r="AA36" s="163">
        <f>1.5*AA32</f>
        <v>1.5</v>
      </c>
      <c r="AB36" s="133"/>
      <c r="AC36" s="133"/>
      <c r="AD36" s="125">
        <f>3*AD32</f>
        <v>9</v>
      </c>
      <c r="AE36" s="136"/>
      <c r="AF36" s="163">
        <f>1.5*AF32</f>
        <v>1.5</v>
      </c>
      <c r="AG36" s="125"/>
      <c r="AH36" s="133"/>
      <c r="AI36" s="133"/>
      <c r="AJ36" s="133"/>
      <c r="AK36" s="133"/>
      <c r="AL36" s="163">
        <f>1.5*AL32</f>
        <v>1.5</v>
      </c>
      <c r="AM36" s="133"/>
      <c r="AN36" s="133"/>
      <c r="AO36" s="133"/>
      <c r="AP36" s="163">
        <f>1.5*AP32</f>
        <v>1.5</v>
      </c>
      <c r="AQ36" s="144">
        <f t="shared" si="0"/>
        <v>27.5</v>
      </c>
    </row>
    <row r="37" spans="1:43" s="49" customFormat="1" x14ac:dyDescent="0.2">
      <c r="A37" s="302"/>
      <c r="B37" s="303"/>
      <c r="C37" s="161" t="s">
        <v>139</v>
      </c>
      <c r="D37" s="162" t="s">
        <v>116</v>
      </c>
      <c r="E37" s="133"/>
      <c r="F37" s="163">
        <f>4*F32</f>
        <v>4</v>
      </c>
      <c r="G37" s="133"/>
      <c r="H37" s="133"/>
      <c r="I37" s="133">
        <f>4*I32</f>
        <v>0</v>
      </c>
      <c r="J37" s="133"/>
      <c r="K37" s="163">
        <f>4*K32</f>
        <v>4</v>
      </c>
      <c r="L37" s="133"/>
      <c r="M37" s="177">
        <f>4*M32</f>
        <v>0</v>
      </c>
      <c r="N37" s="173">
        <f>8*N32</f>
        <v>8</v>
      </c>
      <c r="O37" s="133">
        <f>4*O32</f>
        <v>0</v>
      </c>
      <c r="P37" s="133"/>
      <c r="Q37" s="133"/>
      <c r="R37" s="163">
        <f>4*R32</f>
        <v>4</v>
      </c>
      <c r="S37" s="133"/>
      <c r="T37" s="163">
        <f>4*T32</f>
        <v>4</v>
      </c>
      <c r="U37" s="133"/>
      <c r="V37" s="125"/>
      <c r="W37" s="136"/>
      <c r="X37" s="163">
        <f>4*X32</f>
        <v>4</v>
      </c>
      <c r="Y37" s="125"/>
      <c r="Z37" s="133">
        <f>4*Z32</f>
        <v>0</v>
      </c>
      <c r="AA37" s="163">
        <f>4*AA32</f>
        <v>4</v>
      </c>
      <c r="AB37" s="133"/>
      <c r="AC37" s="133"/>
      <c r="AD37" s="125">
        <f>4*AD32</f>
        <v>12</v>
      </c>
      <c r="AE37" s="136"/>
      <c r="AF37" s="163">
        <f>4*AF32</f>
        <v>4</v>
      </c>
      <c r="AG37" s="125"/>
      <c r="AH37" s="133"/>
      <c r="AI37" s="133"/>
      <c r="AJ37" s="133"/>
      <c r="AK37" s="133"/>
      <c r="AL37" s="163">
        <f>4*AL32</f>
        <v>4</v>
      </c>
      <c r="AM37" s="133"/>
      <c r="AN37" s="133"/>
      <c r="AO37" s="133"/>
      <c r="AP37" s="163">
        <f>4*AP32</f>
        <v>4</v>
      </c>
      <c r="AQ37" s="144">
        <f t="shared" si="0"/>
        <v>56</v>
      </c>
    </row>
    <row r="38" spans="1:43" s="182" customFormat="1" ht="38.25" x14ac:dyDescent="0.25">
      <c r="A38" s="304"/>
      <c r="B38" s="305"/>
      <c r="C38" s="178" t="s">
        <v>140</v>
      </c>
      <c r="D38" s="179" t="s">
        <v>9</v>
      </c>
      <c r="E38" s="125">
        <v>9</v>
      </c>
      <c r="F38" s="173">
        <v>9</v>
      </c>
      <c r="G38" s="125">
        <v>9</v>
      </c>
      <c r="H38" s="125">
        <v>9</v>
      </c>
      <c r="I38" s="180">
        <v>9</v>
      </c>
      <c r="J38" s="103">
        <v>6</v>
      </c>
      <c r="K38" s="173">
        <v>6</v>
      </c>
      <c r="L38" s="103">
        <v>6</v>
      </c>
      <c r="M38" s="181">
        <v>9</v>
      </c>
      <c r="N38" s="102">
        <v>9</v>
      </c>
      <c r="O38" s="180">
        <v>9</v>
      </c>
      <c r="P38" s="103">
        <v>12</v>
      </c>
      <c r="Q38" s="103">
        <v>12</v>
      </c>
      <c r="R38" s="173">
        <v>6</v>
      </c>
      <c r="S38" s="103">
        <v>12</v>
      </c>
      <c r="T38" s="173">
        <v>6</v>
      </c>
      <c r="U38" s="103">
        <v>6</v>
      </c>
      <c r="V38" s="103">
        <v>6</v>
      </c>
      <c r="W38" s="125">
        <v>9</v>
      </c>
      <c r="X38" s="173">
        <v>6</v>
      </c>
      <c r="Y38" s="103">
        <v>6</v>
      </c>
      <c r="Z38" s="180">
        <v>12</v>
      </c>
      <c r="AA38" s="173">
        <v>6</v>
      </c>
      <c r="AB38" s="103">
        <v>6</v>
      </c>
      <c r="AC38" s="103">
        <v>6</v>
      </c>
      <c r="AD38" s="180">
        <v>12</v>
      </c>
      <c r="AE38" s="103">
        <v>6</v>
      </c>
      <c r="AF38" s="173">
        <v>6</v>
      </c>
      <c r="AG38" s="103">
        <v>6</v>
      </c>
      <c r="AH38" s="103">
        <v>6</v>
      </c>
      <c r="AI38" s="103">
        <v>6</v>
      </c>
      <c r="AJ38" s="103">
        <v>6</v>
      </c>
      <c r="AK38" s="103">
        <v>6</v>
      </c>
      <c r="AL38" s="173">
        <v>6</v>
      </c>
      <c r="AM38" s="103">
        <v>6</v>
      </c>
      <c r="AN38" s="103">
        <v>6</v>
      </c>
      <c r="AO38" s="103">
        <v>6</v>
      </c>
      <c r="AP38" s="173">
        <v>6</v>
      </c>
      <c r="AQ38" s="144">
        <f t="shared" si="0"/>
        <v>285</v>
      </c>
    </row>
    <row r="39" spans="1:43" s="49" customFormat="1" ht="25.5" x14ac:dyDescent="0.2">
      <c r="A39" s="274"/>
      <c r="B39" s="275"/>
      <c r="C39" s="137" t="s">
        <v>141</v>
      </c>
      <c r="D39" s="132" t="s">
        <v>9</v>
      </c>
      <c r="E39" s="133">
        <v>6</v>
      </c>
      <c r="F39" s="141">
        <f>6*2</f>
        <v>12</v>
      </c>
      <c r="G39" s="127">
        <v>6</v>
      </c>
      <c r="H39" s="138">
        <v>6</v>
      </c>
      <c r="I39" s="138">
        <v>9</v>
      </c>
      <c r="J39" s="138">
        <v>6</v>
      </c>
      <c r="K39" s="141">
        <f>6*2</f>
        <v>12</v>
      </c>
      <c r="L39" s="138">
        <v>6</v>
      </c>
      <c r="M39" s="140">
        <v>9</v>
      </c>
      <c r="N39" s="102">
        <v>6</v>
      </c>
      <c r="O39" s="138">
        <v>12</v>
      </c>
      <c r="P39" s="138">
        <v>12</v>
      </c>
      <c r="Q39" s="138">
        <v>12</v>
      </c>
      <c r="R39" s="141">
        <f>3*2</f>
        <v>6</v>
      </c>
      <c r="S39" s="138">
        <v>12</v>
      </c>
      <c r="T39" s="141">
        <f>3*2</f>
        <v>6</v>
      </c>
      <c r="U39" s="138">
        <v>6</v>
      </c>
      <c r="V39" s="103">
        <v>6</v>
      </c>
      <c r="W39" s="133">
        <v>6</v>
      </c>
      <c r="X39" s="141">
        <f>3*2</f>
        <v>6</v>
      </c>
      <c r="Y39" s="103">
        <v>6</v>
      </c>
      <c r="Z39" s="138">
        <v>12</v>
      </c>
      <c r="AA39" s="141">
        <f>3*2</f>
        <v>6</v>
      </c>
      <c r="AB39" s="138">
        <v>6</v>
      </c>
      <c r="AC39" s="138">
        <v>6</v>
      </c>
      <c r="AD39" s="103">
        <v>12</v>
      </c>
      <c r="AE39" s="138">
        <v>6</v>
      </c>
      <c r="AF39" s="141">
        <f>3*2</f>
        <v>6</v>
      </c>
      <c r="AG39" s="103">
        <v>6</v>
      </c>
      <c r="AH39" s="138">
        <v>6</v>
      </c>
      <c r="AI39" s="138">
        <v>6</v>
      </c>
      <c r="AJ39" s="138">
        <v>6</v>
      </c>
      <c r="AK39" s="138">
        <v>6</v>
      </c>
      <c r="AL39" s="141">
        <f>3*2</f>
        <v>6</v>
      </c>
      <c r="AM39" s="138">
        <v>6</v>
      </c>
      <c r="AN39" s="138">
        <v>6</v>
      </c>
      <c r="AO39" s="138">
        <v>6</v>
      </c>
      <c r="AP39" s="141">
        <f>3*2</f>
        <v>6</v>
      </c>
      <c r="AQ39" s="144">
        <f t="shared" si="0"/>
        <v>282</v>
      </c>
    </row>
    <row r="40" spans="1:43" s="49" customFormat="1" ht="25.5" x14ac:dyDescent="0.2">
      <c r="A40" s="294"/>
      <c r="B40" s="295"/>
      <c r="C40" s="137" t="s">
        <v>142</v>
      </c>
      <c r="D40" s="132" t="s">
        <v>9</v>
      </c>
      <c r="E40" s="133">
        <v>4</v>
      </c>
      <c r="F40" s="141">
        <v>4</v>
      </c>
      <c r="G40" s="127">
        <v>4</v>
      </c>
      <c r="H40" s="138">
        <v>4</v>
      </c>
      <c r="I40" s="138">
        <v>8</v>
      </c>
      <c r="J40" s="138">
        <v>4</v>
      </c>
      <c r="K40" s="141">
        <v>4</v>
      </c>
      <c r="L40" s="138">
        <v>4</v>
      </c>
      <c r="M40" s="140">
        <v>8</v>
      </c>
      <c r="N40" s="102">
        <v>4</v>
      </c>
      <c r="O40" s="138">
        <v>8</v>
      </c>
      <c r="P40" s="138">
        <v>4</v>
      </c>
      <c r="Q40" s="138">
        <v>4</v>
      </c>
      <c r="R40" s="141">
        <v>4</v>
      </c>
      <c r="S40" s="138">
        <v>4</v>
      </c>
      <c r="T40" s="141">
        <v>4</v>
      </c>
      <c r="U40" s="138">
        <v>4</v>
      </c>
      <c r="V40" s="103">
        <v>4</v>
      </c>
      <c r="W40" s="133">
        <v>4</v>
      </c>
      <c r="X40" s="141">
        <v>4</v>
      </c>
      <c r="Y40" s="103">
        <v>4</v>
      </c>
      <c r="Z40" s="138">
        <v>8</v>
      </c>
      <c r="AA40" s="141">
        <v>4</v>
      </c>
      <c r="AB40" s="138">
        <v>4</v>
      </c>
      <c r="AC40" s="138">
        <v>4</v>
      </c>
      <c r="AD40" s="103">
        <v>8</v>
      </c>
      <c r="AE40" s="138">
        <v>4</v>
      </c>
      <c r="AF40" s="141">
        <v>4</v>
      </c>
      <c r="AG40" s="103">
        <v>4</v>
      </c>
      <c r="AH40" s="138">
        <v>4</v>
      </c>
      <c r="AI40" s="138">
        <v>4</v>
      </c>
      <c r="AJ40" s="138">
        <v>4</v>
      </c>
      <c r="AK40" s="138">
        <v>4</v>
      </c>
      <c r="AL40" s="141">
        <v>4</v>
      </c>
      <c r="AM40" s="138">
        <v>4</v>
      </c>
      <c r="AN40" s="138">
        <v>4</v>
      </c>
      <c r="AO40" s="138">
        <v>4</v>
      </c>
      <c r="AP40" s="141">
        <v>4</v>
      </c>
      <c r="AQ40" s="144">
        <f t="shared" si="0"/>
        <v>172</v>
      </c>
    </row>
    <row r="41" spans="1:43" s="49" customFormat="1" x14ac:dyDescent="0.2">
      <c r="A41" s="274"/>
      <c r="B41" s="275"/>
      <c r="C41" s="137" t="s">
        <v>143</v>
      </c>
      <c r="D41" s="132" t="s">
        <v>9</v>
      </c>
      <c r="E41" s="133">
        <f>E40*1</f>
        <v>4</v>
      </c>
      <c r="F41" s="163">
        <f>F40*2</f>
        <v>8</v>
      </c>
      <c r="G41" s="133">
        <f>G40*1</f>
        <v>4</v>
      </c>
      <c r="H41" s="133">
        <f>H40*1</f>
        <v>4</v>
      </c>
      <c r="I41" s="183">
        <f>2*I40</f>
        <v>16</v>
      </c>
      <c r="J41" s="133">
        <f>J40*1</f>
        <v>4</v>
      </c>
      <c r="K41" s="163">
        <f>K40*2</f>
        <v>8</v>
      </c>
      <c r="L41" s="133">
        <f>L40*1</f>
        <v>4</v>
      </c>
      <c r="M41" s="184">
        <f>2*M40</f>
        <v>16</v>
      </c>
      <c r="N41" s="173">
        <f>N40*2</f>
        <v>8</v>
      </c>
      <c r="O41" s="183">
        <f>2*O40</f>
        <v>16</v>
      </c>
      <c r="P41" s="133">
        <f>P40*1</f>
        <v>4</v>
      </c>
      <c r="Q41" s="133">
        <f>Q40*1</f>
        <v>4</v>
      </c>
      <c r="R41" s="163">
        <f>R40*2</f>
        <v>8</v>
      </c>
      <c r="S41" s="133">
        <f>S40*1</f>
        <v>4</v>
      </c>
      <c r="T41" s="163">
        <f>T40*2</f>
        <v>8</v>
      </c>
      <c r="U41" s="133">
        <f>U40*1</f>
        <v>4</v>
      </c>
      <c r="V41" s="133">
        <f>V40*1</f>
        <v>4</v>
      </c>
      <c r="W41" s="133">
        <f>W40*1</f>
        <v>4</v>
      </c>
      <c r="X41" s="163">
        <f>X40*2</f>
        <v>8</v>
      </c>
      <c r="Y41" s="125">
        <f>Y40*1</f>
        <v>4</v>
      </c>
      <c r="Z41" s="183">
        <f>2*Z40</f>
        <v>16</v>
      </c>
      <c r="AA41" s="163">
        <f>AA40*2</f>
        <v>8</v>
      </c>
      <c r="AB41" s="133">
        <f>AB40*1</f>
        <v>4</v>
      </c>
      <c r="AC41" s="133">
        <f>AC40*1</f>
        <v>4</v>
      </c>
      <c r="AD41" s="125">
        <f>2*AD40</f>
        <v>16</v>
      </c>
      <c r="AE41" s="133">
        <f>AE40*1</f>
        <v>4</v>
      </c>
      <c r="AF41" s="163">
        <f>AF40*2</f>
        <v>8</v>
      </c>
      <c r="AG41" s="125">
        <f>AG40*1</f>
        <v>4</v>
      </c>
      <c r="AH41" s="133">
        <f>AH40*1</f>
        <v>4</v>
      </c>
      <c r="AI41" s="133">
        <f>AI40*1</f>
        <v>4</v>
      </c>
      <c r="AJ41" s="133">
        <f>AJ40*1</f>
        <v>4</v>
      </c>
      <c r="AK41" s="133">
        <f>AK40*1</f>
        <v>4</v>
      </c>
      <c r="AL41" s="163">
        <f>AL40*2</f>
        <v>8</v>
      </c>
      <c r="AM41" s="133">
        <f>AM40*1</f>
        <v>4</v>
      </c>
      <c r="AN41" s="133">
        <f>AN40*1</f>
        <v>4</v>
      </c>
      <c r="AO41" s="133">
        <f>AO40*1</f>
        <v>4</v>
      </c>
      <c r="AP41" s="163">
        <f>AP40*2</f>
        <v>8</v>
      </c>
      <c r="AQ41" s="144">
        <f t="shared" si="0"/>
        <v>252</v>
      </c>
    </row>
    <row r="42" spans="1:43" s="49" customFormat="1" x14ac:dyDescent="0.2">
      <c r="A42" s="294"/>
      <c r="B42" s="295"/>
      <c r="C42" s="137" t="s">
        <v>144</v>
      </c>
      <c r="D42" s="132" t="s">
        <v>9</v>
      </c>
      <c r="E42" s="133">
        <f t="shared" ref="E42:Y42" si="1">3*E41</f>
        <v>12</v>
      </c>
      <c r="F42" s="163">
        <f t="shared" si="1"/>
        <v>24</v>
      </c>
      <c r="G42" s="133">
        <f t="shared" si="1"/>
        <v>12</v>
      </c>
      <c r="H42" s="133">
        <f t="shared" si="1"/>
        <v>12</v>
      </c>
      <c r="I42" s="183">
        <f t="shared" si="1"/>
        <v>48</v>
      </c>
      <c r="J42" s="133">
        <f t="shared" si="1"/>
        <v>12</v>
      </c>
      <c r="K42" s="163">
        <f t="shared" si="1"/>
        <v>24</v>
      </c>
      <c r="L42" s="133">
        <f t="shared" si="1"/>
        <v>12</v>
      </c>
      <c r="M42" s="184">
        <f t="shared" si="1"/>
        <v>48</v>
      </c>
      <c r="N42" s="173">
        <f t="shared" si="1"/>
        <v>24</v>
      </c>
      <c r="O42" s="183">
        <f t="shared" si="1"/>
        <v>48</v>
      </c>
      <c r="P42" s="133">
        <f t="shared" si="1"/>
        <v>12</v>
      </c>
      <c r="Q42" s="133">
        <f t="shared" si="1"/>
        <v>12</v>
      </c>
      <c r="R42" s="163">
        <f t="shared" si="1"/>
        <v>24</v>
      </c>
      <c r="S42" s="133">
        <f t="shared" si="1"/>
        <v>12</v>
      </c>
      <c r="T42" s="163">
        <f t="shared" si="1"/>
        <v>24</v>
      </c>
      <c r="U42" s="133">
        <f t="shared" si="1"/>
        <v>12</v>
      </c>
      <c r="V42" s="125">
        <f t="shared" si="1"/>
        <v>12</v>
      </c>
      <c r="W42" s="133">
        <f t="shared" si="1"/>
        <v>12</v>
      </c>
      <c r="X42" s="163">
        <f t="shared" si="1"/>
        <v>24</v>
      </c>
      <c r="Y42" s="125">
        <f t="shared" si="1"/>
        <v>12</v>
      </c>
      <c r="Z42" s="183">
        <f>3*Z41</f>
        <v>48</v>
      </c>
      <c r="AA42" s="163">
        <f>3*AA41</f>
        <v>24</v>
      </c>
      <c r="AB42" s="133">
        <f>3*AB41</f>
        <v>12</v>
      </c>
      <c r="AC42" s="133">
        <f>3*AC41</f>
        <v>12</v>
      </c>
      <c r="AD42" s="125">
        <f>3*AD41</f>
        <v>48</v>
      </c>
      <c r="AE42" s="133">
        <f t="shared" ref="AE42:AP42" si="2">3*AE41</f>
        <v>12</v>
      </c>
      <c r="AF42" s="163">
        <f t="shared" si="2"/>
        <v>24</v>
      </c>
      <c r="AG42" s="125">
        <f t="shared" si="2"/>
        <v>12</v>
      </c>
      <c r="AH42" s="133">
        <f t="shared" si="2"/>
        <v>12</v>
      </c>
      <c r="AI42" s="133">
        <f t="shared" si="2"/>
        <v>12</v>
      </c>
      <c r="AJ42" s="133">
        <f t="shared" si="2"/>
        <v>12</v>
      </c>
      <c r="AK42" s="133">
        <f t="shared" si="2"/>
        <v>12</v>
      </c>
      <c r="AL42" s="163">
        <f t="shared" si="2"/>
        <v>24</v>
      </c>
      <c r="AM42" s="133">
        <f t="shared" si="2"/>
        <v>12</v>
      </c>
      <c r="AN42" s="133">
        <f t="shared" si="2"/>
        <v>12</v>
      </c>
      <c r="AO42" s="133">
        <f t="shared" si="2"/>
        <v>12</v>
      </c>
      <c r="AP42" s="163">
        <f t="shared" si="2"/>
        <v>24</v>
      </c>
      <c r="AQ42" s="144">
        <f t="shared" si="0"/>
        <v>756</v>
      </c>
    </row>
    <row r="43" spans="1:43" s="49" customFormat="1" x14ac:dyDescent="0.2">
      <c r="A43" s="274"/>
      <c r="B43" s="275"/>
      <c r="C43" s="137" t="s">
        <v>145</v>
      </c>
      <c r="D43" s="132" t="s">
        <v>9</v>
      </c>
      <c r="E43" s="133">
        <f t="shared" ref="E43:AP43" si="3">E42</f>
        <v>12</v>
      </c>
      <c r="F43" s="163">
        <f t="shared" si="3"/>
        <v>24</v>
      </c>
      <c r="G43" s="133">
        <f t="shared" si="3"/>
        <v>12</v>
      </c>
      <c r="H43" s="133">
        <f t="shared" si="3"/>
        <v>12</v>
      </c>
      <c r="I43" s="183">
        <f t="shared" si="3"/>
        <v>48</v>
      </c>
      <c r="J43" s="133">
        <f t="shared" si="3"/>
        <v>12</v>
      </c>
      <c r="K43" s="163">
        <f t="shared" si="3"/>
        <v>24</v>
      </c>
      <c r="L43" s="133">
        <f t="shared" si="3"/>
        <v>12</v>
      </c>
      <c r="M43" s="184">
        <f t="shared" si="3"/>
        <v>48</v>
      </c>
      <c r="N43" s="173">
        <f t="shared" si="3"/>
        <v>24</v>
      </c>
      <c r="O43" s="183">
        <f t="shared" si="3"/>
        <v>48</v>
      </c>
      <c r="P43" s="133">
        <f t="shared" si="3"/>
        <v>12</v>
      </c>
      <c r="Q43" s="133">
        <f t="shared" si="3"/>
        <v>12</v>
      </c>
      <c r="R43" s="163">
        <f t="shared" si="3"/>
        <v>24</v>
      </c>
      <c r="S43" s="133">
        <f t="shared" si="3"/>
        <v>12</v>
      </c>
      <c r="T43" s="163">
        <f t="shared" si="3"/>
        <v>24</v>
      </c>
      <c r="U43" s="133">
        <f t="shared" si="3"/>
        <v>12</v>
      </c>
      <c r="V43" s="125">
        <f t="shared" si="3"/>
        <v>12</v>
      </c>
      <c r="W43" s="133">
        <f t="shared" si="3"/>
        <v>12</v>
      </c>
      <c r="X43" s="163">
        <f t="shared" si="3"/>
        <v>24</v>
      </c>
      <c r="Y43" s="125">
        <f t="shared" si="3"/>
        <v>12</v>
      </c>
      <c r="Z43" s="183">
        <f t="shared" si="3"/>
        <v>48</v>
      </c>
      <c r="AA43" s="163">
        <f t="shared" si="3"/>
        <v>24</v>
      </c>
      <c r="AB43" s="133">
        <f t="shared" si="3"/>
        <v>12</v>
      </c>
      <c r="AC43" s="133">
        <f t="shared" si="3"/>
        <v>12</v>
      </c>
      <c r="AD43" s="125">
        <f t="shared" si="3"/>
        <v>48</v>
      </c>
      <c r="AE43" s="133">
        <f t="shared" si="3"/>
        <v>12</v>
      </c>
      <c r="AF43" s="163">
        <f t="shared" si="3"/>
        <v>24</v>
      </c>
      <c r="AG43" s="125">
        <f t="shared" si="3"/>
        <v>12</v>
      </c>
      <c r="AH43" s="133">
        <f t="shared" si="3"/>
        <v>12</v>
      </c>
      <c r="AI43" s="133">
        <f t="shared" si="3"/>
        <v>12</v>
      </c>
      <c r="AJ43" s="133">
        <f t="shared" si="3"/>
        <v>12</v>
      </c>
      <c r="AK43" s="133">
        <f t="shared" si="3"/>
        <v>12</v>
      </c>
      <c r="AL43" s="163">
        <f t="shared" si="3"/>
        <v>24</v>
      </c>
      <c r="AM43" s="133">
        <f t="shared" si="3"/>
        <v>12</v>
      </c>
      <c r="AN43" s="133">
        <f t="shared" si="3"/>
        <v>12</v>
      </c>
      <c r="AO43" s="133">
        <f t="shared" si="3"/>
        <v>12</v>
      </c>
      <c r="AP43" s="163">
        <f t="shared" si="3"/>
        <v>24</v>
      </c>
      <c r="AQ43" s="144">
        <f t="shared" si="0"/>
        <v>756</v>
      </c>
    </row>
    <row r="44" spans="1:43" s="49" customFormat="1" ht="25.5" x14ac:dyDescent="0.2">
      <c r="A44" s="294"/>
      <c r="B44" s="295"/>
      <c r="C44" s="137" t="s">
        <v>146</v>
      </c>
      <c r="D44" s="132" t="s">
        <v>9</v>
      </c>
      <c r="E44" s="133">
        <f>3*E13</f>
        <v>3</v>
      </c>
      <c r="F44" s="163">
        <f>4*F13</f>
        <v>4</v>
      </c>
      <c r="G44" s="133">
        <f>3*G13</f>
        <v>3</v>
      </c>
      <c r="H44" s="133">
        <f>3*H13</f>
        <v>3</v>
      </c>
      <c r="I44" s="125">
        <f>3*I13</f>
        <v>3</v>
      </c>
      <c r="J44" s="125">
        <f>3*J13</f>
        <v>3</v>
      </c>
      <c r="K44" s="163">
        <v>4</v>
      </c>
      <c r="L44" s="133">
        <f>3*L13</f>
        <v>3</v>
      </c>
      <c r="M44" s="185">
        <f>3*M13</f>
        <v>3</v>
      </c>
      <c r="N44" s="163">
        <v>4</v>
      </c>
      <c r="O44" s="125">
        <f>3*O13</f>
        <v>3</v>
      </c>
      <c r="P44" s="125">
        <f>3*P13</f>
        <v>3</v>
      </c>
      <c r="Q44" s="125">
        <f>3*Q13</f>
        <v>3</v>
      </c>
      <c r="R44" s="163">
        <v>4</v>
      </c>
      <c r="S44" s="125">
        <f>3*S13</f>
        <v>3</v>
      </c>
      <c r="T44" s="163">
        <v>4</v>
      </c>
      <c r="U44" s="133">
        <f>3*U13</f>
        <v>3</v>
      </c>
      <c r="V44" s="125">
        <f>3*V13</f>
        <v>3</v>
      </c>
      <c r="W44" s="133">
        <f>3*W13</f>
        <v>3</v>
      </c>
      <c r="X44" s="163">
        <v>4</v>
      </c>
      <c r="Y44" s="125">
        <f>3*Y13</f>
        <v>3</v>
      </c>
      <c r="Z44" s="125">
        <f>3*Z13</f>
        <v>3</v>
      </c>
      <c r="AA44" s="163">
        <v>4</v>
      </c>
      <c r="AB44" s="133">
        <f>3*AB13</f>
        <v>3</v>
      </c>
      <c r="AC44" s="133">
        <f>3*AC13</f>
        <v>3</v>
      </c>
      <c r="AD44" s="125">
        <f>3*AD13</f>
        <v>3</v>
      </c>
      <c r="AE44" s="133">
        <f>3*AE13</f>
        <v>3</v>
      </c>
      <c r="AF44" s="163">
        <v>4</v>
      </c>
      <c r="AG44" s="125">
        <f>3*AG13</f>
        <v>3</v>
      </c>
      <c r="AH44" s="133">
        <f>3*AH13</f>
        <v>3</v>
      </c>
      <c r="AI44" s="133">
        <f>3*AI13</f>
        <v>3</v>
      </c>
      <c r="AJ44" s="133">
        <f>3*AJ13</f>
        <v>3</v>
      </c>
      <c r="AK44" s="133">
        <f>3*AK13</f>
        <v>3</v>
      </c>
      <c r="AL44" s="163">
        <v>4</v>
      </c>
      <c r="AM44" s="133">
        <f>3*AM13</f>
        <v>3</v>
      </c>
      <c r="AN44" s="133">
        <f>3*AN13</f>
        <v>3</v>
      </c>
      <c r="AO44" s="133">
        <f>3*AO13</f>
        <v>3</v>
      </c>
      <c r="AP44" s="163">
        <v>4</v>
      </c>
      <c r="AQ44" s="144">
        <f t="shared" si="0"/>
        <v>124</v>
      </c>
    </row>
    <row r="45" spans="1:43" s="49" customFormat="1" ht="26.25" customHeight="1" x14ac:dyDescent="0.2">
      <c r="A45" s="274"/>
      <c r="B45" s="275"/>
      <c r="C45" s="131" t="s">
        <v>147</v>
      </c>
      <c r="D45" s="132" t="s">
        <v>9</v>
      </c>
      <c r="E45" s="125">
        <v>2</v>
      </c>
      <c r="F45" s="126">
        <v>1</v>
      </c>
      <c r="G45" s="127">
        <v>2</v>
      </c>
      <c r="H45" s="103">
        <v>2</v>
      </c>
      <c r="I45" s="103">
        <v>2</v>
      </c>
      <c r="J45" s="103">
        <v>2</v>
      </c>
      <c r="K45" s="126">
        <v>1</v>
      </c>
      <c r="L45" s="138">
        <v>2</v>
      </c>
      <c r="M45" s="104">
        <v>2</v>
      </c>
      <c r="N45" s="126">
        <v>1</v>
      </c>
      <c r="O45" s="103">
        <v>2</v>
      </c>
      <c r="P45" s="103">
        <v>2</v>
      </c>
      <c r="Q45" s="103">
        <v>2</v>
      </c>
      <c r="R45" s="126">
        <v>1</v>
      </c>
      <c r="S45" s="103">
        <v>2</v>
      </c>
      <c r="T45" s="126">
        <v>1</v>
      </c>
      <c r="U45" s="138">
        <v>2</v>
      </c>
      <c r="V45" s="103">
        <v>2</v>
      </c>
      <c r="W45" s="133">
        <v>2</v>
      </c>
      <c r="X45" s="126">
        <v>1</v>
      </c>
      <c r="Y45" s="103">
        <v>2</v>
      </c>
      <c r="Z45" s="103">
        <v>2</v>
      </c>
      <c r="AA45" s="126">
        <v>1</v>
      </c>
      <c r="AB45" s="138">
        <v>2</v>
      </c>
      <c r="AC45" s="138">
        <v>2</v>
      </c>
      <c r="AD45" s="103">
        <v>2</v>
      </c>
      <c r="AE45" s="138">
        <v>2</v>
      </c>
      <c r="AF45" s="126">
        <v>1</v>
      </c>
      <c r="AG45" s="103">
        <v>2</v>
      </c>
      <c r="AH45" s="138">
        <v>2</v>
      </c>
      <c r="AI45" s="138">
        <v>2</v>
      </c>
      <c r="AJ45" s="138">
        <v>2</v>
      </c>
      <c r="AK45" s="138">
        <v>2</v>
      </c>
      <c r="AL45" s="126">
        <v>1</v>
      </c>
      <c r="AM45" s="138">
        <v>2</v>
      </c>
      <c r="AN45" s="138">
        <v>2</v>
      </c>
      <c r="AO45" s="138">
        <v>2</v>
      </c>
      <c r="AP45" s="126">
        <v>1</v>
      </c>
      <c r="AQ45" s="144">
        <f t="shared" si="0"/>
        <v>66</v>
      </c>
    </row>
    <row r="46" spans="1:43" s="49" customFormat="1" ht="38.25" x14ac:dyDescent="0.2">
      <c r="A46" s="294"/>
      <c r="B46" s="295"/>
      <c r="C46" s="131" t="s">
        <v>148</v>
      </c>
      <c r="D46" s="132" t="s">
        <v>9</v>
      </c>
      <c r="E46" s="133">
        <v>1</v>
      </c>
      <c r="F46" s="173">
        <f>E46</f>
        <v>1</v>
      </c>
      <c r="G46" s="127">
        <v>1</v>
      </c>
      <c r="H46" s="127">
        <v>1</v>
      </c>
      <c r="I46" s="186">
        <v>4</v>
      </c>
      <c r="J46" s="127">
        <v>1</v>
      </c>
      <c r="K46" s="173">
        <v>1</v>
      </c>
      <c r="L46" s="127">
        <v>1</v>
      </c>
      <c r="M46" s="187">
        <v>4</v>
      </c>
      <c r="N46" s="173">
        <v>1</v>
      </c>
      <c r="O46" s="186">
        <v>4</v>
      </c>
      <c r="P46" s="127">
        <v>1</v>
      </c>
      <c r="Q46" s="127">
        <v>1</v>
      </c>
      <c r="R46" s="173">
        <v>1</v>
      </c>
      <c r="S46" s="127">
        <v>1</v>
      </c>
      <c r="T46" s="173">
        <v>1</v>
      </c>
      <c r="U46" s="127">
        <v>1</v>
      </c>
      <c r="V46" s="127">
        <v>1</v>
      </c>
      <c r="W46" s="188">
        <v>1</v>
      </c>
      <c r="X46" s="173">
        <v>1</v>
      </c>
      <c r="Y46" s="127">
        <v>1</v>
      </c>
      <c r="Z46" s="186">
        <v>4</v>
      </c>
      <c r="AA46" s="173">
        <v>1</v>
      </c>
      <c r="AB46" s="127">
        <v>1</v>
      </c>
      <c r="AC46" s="127">
        <v>1</v>
      </c>
      <c r="AD46" s="127">
        <v>4</v>
      </c>
      <c r="AE46" s="127">
        <v>1</v>
      </c>
      <c r="AF46" s="173">
        <v>1</v>
      </c>
      <c r="AG46" s="127">
        <v>1</v>
      </c>
      <c r="AH46" s="127">
        <v>1</v>
      </c>
      <c r="AI46" s="127">
        <v>1</v>
      </c>
      <c r="AJ46" s="127">
        <v>1</v>
      </c>
      <c r="AK46" s="127">
        <v>1</v>
      </c>
      <c r="AL46" s="173">
        <v>1</v>
      </c>
      <c r="AM46" s="127">
        <v>1</v>
      </c>
      <c r="AN46" s="127">
        <v>1</v>
      </c>
      <c r="AO46" s="127">
        <v>1</v>
      </c>
      <c r="AP46" s="173">
        <v>1</v>
      </c>
      <c r="AQ46" s="144">
        <f t="shared" si="0"/>
        <v>53</v>
      </c>
    </row>
    <row r="47" spans="1:43" s="49" customFormat="1" ht="25.5" x14ac:dyDescent="0.2">
      <c r="A47" s="294"/>
      <c r="B47" s="295"/>
      <c r="C47" s="137" t="s">
        <v>149</v>
      </c>
      <c r="D47" s="132" t="s">
        <v>9</v>
      </c>
      <c r="E47" s="133">
        <v>1</v>
      </c>
      <c r="F47" s="173">
        <v>3</v>
      </c>
      <c r="G47" s="127">
        <v>1</v>
      </c>
      <c r="H47" s="127">
        <v>1</v>
      </c>
      <c r="I47" s="186">
        <v>1</v>
      </c>
      <c r="J47" s="127">
        <v>1</v>
      </c>
      <c r="K47" s="173">
        <v>3</v>
      </c>
      <c r="L47" s="127">
        <v>1</v>
      </c>
      <c r="M47" s="187">
        <v>1</v>
      </c>
      <c r="N47" s="173">
        <v>3</v>
      </c>
      <c r="O47" s="186">
        <v>1</v>
      </c>
      <c r="P47" s="127">
        <v>1</v>
      </c>
      <c r="Q47" s="127">
        <v>1</v>
      </c>
      <c r="R47" s="173">
        <v>3</v>
      </c>
      <c r="S47" s="127">
        <v>1</v>
      </c>
      <c r="T47" s="173">
        <v>3</v>
      </c>
      <c r="U47" s="127">
        <v>1</v>
      </c>
      <c r="V47" s="127">
        <v>1</v>
      </c>
      <c r="W47" s="188">
        <v>1</v>
      </c>
      <c r="X47" s="173">
        <v>3</v>
      </c>
      <c r="Y47" s="127">
        <v>1</v>
      </c>
      <c r="Z47" s="186">
        <v>1</v>
      </c>
      <c r="AA47" s="173">
        <v>3</v>
      </c>
      <c r="AB47" s="127">
        <v>1</v>
      </c>
      <c r="AC47" s="127">
        <v>1</v>
      </c>
      <c r="AD47" s="127">
        <v>1</v>
      </c>
      <c r="AE47" s="127">
        <v>1</v>
      </c>
      <c r="AF47" s="173">
        <v>3</v>
      </c>
      <c r="AG47" s="127">
        <v>1</v>
      </c>
      <c r="AH47" s="127">
        <v>1</v>
      </c>
      <c r="AI47" s="127">
        <v>1</v>
      </c>
      <c r="AJ47" s="127">
        <v>1</v>
      </c>
      <c r="AK47" s="127">
        <v>1</v>
      </c>
      <c r="AL47" s="173">
        <v>3</v>
      </c>
      <c r="AM47" s="127">
        <v>1</v>
      </c>
      <c r="AN47" s="127">
        <v>1</v>
      </c>
      <c r="AO47" s="127">
        <v>1</v>
      </c>
      <c r="AP47" s="173">
        <v>3</v>
      </c>
      <c r="AQ47" s="144">
        <f t="shared" si="0"/>
        <v>58</v>
      </c>
    </row>
    <row r="48" spans="1:43" s="49" customFormat="1" x14ac:dyDescent="0.2">
      <c r="A48" s="308"/>
      <c r="B48" s="309"/>
      <c r="C48" s="189" t="s">
        <v>150</v>
      </c>
      <c r="D48" s="132" t="s">
        <v>9</v>
      </c>
      <c r="E48" s="133">
        <f t="shared" ref="E48:AP48" si="4">E47+E46+E45</f>
        <v>4</v>
      </c>
      <c r="F48" s="163">
        <f t="shared" si="4"/>
        <v>5</v>
      </c>
      <c r="G48" s="133">
        <f t="shared" si="4"/>
        <v>4</v>
      </c>
      <c r="H48" s="133">
        <f t="shared" si="4"/>
        <v>4</v>
      </c>
      <c r="I48" s="183">
        <f t="shared" si="4"/>
        <v>7</v>
      </c>
      <c r="J48" s="125">
        <f t="shared" si="4"/>
        <v>4</v>
      </c>
      <c r="K48" s="163">
        <f t="shared" si="4"/>
        <v>5</v>
      </c>
      <c r="L48" s="133">
        <f t="shared" si="4"/>
        <v>4</v>
      </c>
      <c r="M48" s="184">
        <f t="shared" si="4"/>
        <v>7</v>
      </c>
      <c r="N48" s="163">
        <f>N47+N46+N45</f>
        <v>5</v>
      </c>
      <c r="O48" s="183">
        <f t="shared" si="4"/>
        <v>7</v>
      </c>
      <c r="P48" s="125">
        <f t="shared" si="4"/>
        <v>4</v>
      </c>
      <c r="Q48" s="125">
        <f t="shared" si="4"/>
        <v>4</v>
      </c>
      <c r="R48" s="163">
        <f t="shared" si="4"/>
        <v>5</v>
      </c>
      <c r="S48" s="125">
        <f t="shared" si="4"/>
        <v>4</v>
      </c>
      <c r="T48" s="163">
        <f>T47+T46+T45</f>
        <v>5</v>
      </c>
      <c r="U48" s="133">
        <f t="shared" si="4"/>
        <v>4</v>
      </c>
      <c r="V48" s="125">
        <f t="shared" si="4"/>
        <v>4</v>
      </c>
      <c r="W48" s="133">
        <f t="shared" si="4"/>
        <v>4</v>
      </c>
      <c r="X48" s="163">
        <f t="shared" si="4"/>
        <v>5</v>
      </c>
      <c r="Y48" s="125">
        <f t="shared" si="4"/>
        <v>4</v>
      </c>
      <c r="Z48" s="183">
        <f t="shared" si="4"/>
        <v>7</v>
      </c>
      <c r="AA48" s="163">
        <f>AA47+AA46+AA45</f>
        <v>5</v>
      </c>
      <c r="AB48" s="133">
        <f t="shared" si="4"/>
        <v>4</v>
      </c>
      <c r="AC48" s="133">
        <f t="shared" si="4"/>
        <v>4</v>
      </c>
      <c r="AD48" s="125">
        <f t="shared" si="4"/>
        <v>7</v>
      </c>
      <c r="AE48" s="133">
        <f t="shared" si="4"/>
        <v>4</v>
      </c>
      <c r="AF48" s="163">
        <f t="shared" si="4"/>
        <v>5</v>
      </c>
      <c r="AG48" s="125">
        <f t="shared" si="4"/>
        <v>4</v>
      </c>
      <c r="AH48" s="133">
        <f t="shared" si="4"/>
        <v>4</v>
      </c>
      <c r="AI48" s="133">
        <f t="shared" si="4"/>
        <v>4</v>
      </c>
      <c r="AJ48" s="133">
        <f t="shared" si="4"/>
        <v>4</v>
      </c>
      <c r="AK48" s="133">
        <f t="shared" si="4"/>
        <v>4</v>
      </c>
      <c r="AL48" s="163">
        <f>AL47+AL46+AL45</f>
        <v>5</v>
      </c>
      <c r="AM48" s="133">
        <f t="shared" si="4"/>
        <v>4</v>
      </c>
      <c r="AN48" s="133">
        <f t="shared" si="4"/>
        <v>4</v>
      </c>
      <c r="AO48" s="133">
        <f t="shared" si="4"/>
        <v>4</v>
      </c>
      <c r="AP48" s="163">
        <f t="shared" si="4"/>
        <v>5</v>
      </c>
      <c r="AQ48" s="144">
        <f t="shared" si="0"/>
        <v>177</v>
      </c>
    </row>
    <row r="49" spans="1:43" s="49" customFormat="1" ht="25.5" x14ac:dyDescent="0.2">
      <c r="A49" s="274"/>
      <c r="B49" s="275"/>
      <c r="C49" s="137" t="s">
        <v>151</v>
      </c>
      <c r="D49" s="132" t="s">
        <v>133</v>
      </c>
      <c r="E49" s="133">
        <v>1</v>
      </c>
      <c r="F49" s="163">
        <v>1</v>
      </c>
      <c r="G49" s="133">
        <v>1</v>
      </c>
      <c r="H49" s="133">
        <v>1</v>
      </c>
      <c r="I49" s="125">
        <v>1</v>
      </c>
      <c r="J49" s="125">
        <v>1</v>
      </c>
      <c r="K49" s="163">
        <v>1</v>
      </c>
      <c r="L49" s="133">
        <v>1</v>
      </c>
      <c r="M49" s="185">
        <v>1</v>
      </c>
      <c r="N49" s="173">
        <v>1</v>
      </c>
      <c r="O49" s="125">
        <v>1</v>
      </c>
      <c r="P49" s="125">
        <v>1</v>
      </c>
      <c r="Q49" s="125">
        <v>1</v>
      </c>
      <c r="R49" s="163">
        <v>1</v>
      </c>
      <c r="S49" s="125">
        <v>1</v>
      </c>
      <c r="T49" s="163">
        <v>1</v>
      </c>
      <c r="U49" s="133">
        <v>1</v>
      </c>
      <c r="V49" s="125">
        <v>1</v>
      </c>
      <c r="W49" s="133">
        <v>1</v>
      </c>
      <c r="X49" s="163">
        <v>1</v>
      </c>
      <c r="Y49" s="125">
        <v>1</v>
      </c>
      <c r="Z49" s="125">
        <v>1</v>
      </c>
      <c r="AA49" s="163">
        <v>1</v>
      </c>
      <c r="AB49" s="133">
        <v>1</v>
      </c>
      <c r="AC49" s="133">
        <v>1</v>
      </c>
      <c r="AD49" s="125">
        <v>1</v>
      </c>
      <c r="AE49" s="133">
        <v>1</v>
      </c>
      <c r="AF49" s="163">
        <v>1</v>
      </c>
      <c r="AG49" s="125">
        <v>1</v>
      </c>
      <c r="AH49" s="133">
        <v>1</v>
      </c>
      <c r="AI49" s="133">
        <v>1</v>
      </c>
      <c r="AJ49" s="133">
        <v>1</v>
      </c>
      <c r="AK49" s="133">
        <v>1</v>
      </c>
      <c r="AL49" s="163">
        <v>1</v>
      </c>
      <c r="AM49" s="133">
        <v>1</v>
      </c>
      <c r="AN49" s="133">
        <v>1</v>
      </c>
      <c r="AO49" s="133">
        <v>1</v>
      </c>
      <c r="AP49" s="163">
        <v>1</v>
      </c>
      <c r="AQ49" s="144">
        <f t="shared" si="0"/>
        <v>38</v>
      </c>
    </row>
    <row r="50" spans="1:43" s="49" customFormat="1" x14ac:dyDescent="0.2">
      <c r="A50" s="294"/>
      <c r="B50" s="295"/>
      <c r="C50" s="137" t="s">
        <v>152</v>
      </c>
      <c r="D50" s="132" t="s">
        <v>133</v>
      </c>
      <c r="E50" s="133"/>
      <c r="F50" s="141"/>
      <c r="G50" s="127"/>
      <c r="H50" s="138"/>
      <c r="I50" s="105"/>
      <c r="J50" s="105"/>
      <c r="K50" s="141"/>
      <c r="L50" s="105"/>
      <c r="M50" s="143"/>
      <c r="N50" s="135"/>
      <c r="O50" s="139"/>
      <c r="P50" s="105"/>
      <c r="Q50" s="105"/>
      <c r="R50" s="141"/>
      <c r="S50" s="105"/>
      <c r="T50" s="141"/>
      <c r="U50" s="105"/>
      <c r="V50" s="145"/>
      <c r="W50" s="136"/>
      <c r="X50" s="141"/>
      <c r="Y50" s="145"/>
      <c r="Z50" s="139"/>
      <c r="AA50" s="141"/>
      <c r="AB50" s="139"/>
      <c r="AC50" s="139"/>
      <c r="AD50" s="103"/>
      <c r="AE50" s="139"/>
      <c r="AF50" s="141"/>
      <c r="AG50" s="145"/>
      <c r="AH50" s="139"/>
      <c r="AI50" s="139"/>
      <c r="AJ50" s="139"/>
      <c r="AK50" s="139"/>
      <c r="AL50" s="141"/>
      <c r="AM50" s="139"/>
      <c r="AN50" s="139"/>
      <c r="AO50" s="139"/>
      <c r="AP50" s="141"/>
      <c r="AQ50" s="144">
        <f t="shared" si="0"/>
        <v>0</v>
      </c>
    </row>
    <row r="51" spans="1:43" s="49" customFormat="1" x14ac:dyDescent="0.2">
      <c r="A51" s="274"/>
      <c r="B51" s="275"/>
      <c r="C51" s="137" t="s">
        <v>153</v>
      </c>
      <c r="D51" s="132" t="s">
        <v>154</v>
      </c>
      <c r="E51" s="133"/>
      <c r="F51" s="141"/>
      <c r="G51" s="127"/>
      <c r="H51" s="138"/>
      <c r="I51" s="105"/>
      <c r="J51" s="105"/>
      <c r="K51" s="141"/>
      <c r="L51" s="105"/>
      <c r="M51" s="143"/>
      <c r="N51" s="135"/>
      <c r="O51" s="139"/>
      <c r="P51" s="105"/>
      <c r="Q51" s="105"/>
      <c r="R51" s="141"/>
      <c r="S51" s="105"/>
      <c r="T51" s="141"/>
      <c r="U51" s="105"/>
      <c r="V51" s="145"/>
      <c r="W51" s="136"/>
      <c r="X51" s="141"/>
      <c r="Y51" s="145"/>
      <c r="Z51" s="139"/>
      <c r="AA51" s="141"/>
      <c r="AB51" s="139"/>
      <c r="AC51" s="139"/>
      <c r="AD51" s="103"/>
      <c r="AE51" s="139"/>
      <c r="AF51" s="141"/>
      <c r="AG51" s="145"/>
      <c r="AH51" s="139"/>
      <c r="AI51" s="139"/>
      <c r="AJ51" s="139"/>
      <c r="AK51" s="139"/>
      <c r="AL51" s="141"/>
      <c r="AM51" s="139"/>
      <c r="AN51" s="139"/>
      <c r="AO51" s="139"/>
      <c r="AP51" s="141"/>
      <c r="AQ51" s="144">
        <f t="shared" si="0"/>
        <v>0</v>
      </c>
    </row>
    <row r="52" spans="1:43" s="53" customFormat="1" x14ac:dyDescent="0.2">
      <c r="A52" s="310"/>
      <c r="B52" s="311"/>
      <c r="C52" s="190" t="s">
        <v>155</v>
      </c>
      <c r="D52" s="191" t="s">
        <v>133</v>
      </c>
      <c r="E52" s="136"/>
      <c r="F52" s="141"/>
      <c r="G52" s="127"/>
      <c r="H52" s="138"/>
      <c r="I52" s="105"/>
      <c r="J52" s="105"/>
      <c r="K52" s="141"/>
      <c r="L52" s="105"/>
      <c r="M52" s="143"/>
      <c r="N52" s="135"/>
      <c r="O52" s="139"/>
      <c r="P52" s="105"/>
      <c r="Q52" s="105"/>
      <c r="R52" s="141"/>
      <c r="S52" s="105"/>
      <c r="T52" s="141"/>
      <c r="U52" s="105"/>
      <c r="V52" s="145"/>
      <c r="W52" s="136"/>
      <c r="X52" s="141"/>
      <c r="Y52" s="145"/>
      <c r="Z52" s="139"/>
      <c r="AA52" s="141"/>
      <c r="AB52" s="139"/>
      <c r="AC52" s="139"/>
      <c r="AD52" s="103"/>
      <c r="AE52" s="139"/>
      <c r="AF52" s="141"/>
      <c r="AG52" s="145"/>
      <c r="AH52" s="139"/>
      <c r="AI52" s="139"/>
      <c r="AJ52" s="139"/>
      <c r="AK52" s="139"/>
      <c r="AL52" s="141"/>
      <c r="AM52" s="139"/>
      <c r="AN52" s="139"/>
      <c r="AO52" s="139"/>
      <c r="AP52" s="141"/>
      <c r="AQ52" s="144">
        <f t="shared" si="0"/>
        <v>0</v>
      </c>
    </row>
    <row r="53" spans="1:43" s="53" customFormat="1" x14ac:dyDescent="0.2">
      <c r="A53" s="294"/>
      <c r="B53" s="295"/>
      <c r="C53" s="137" t="s">
        <v>156</v>
      </c>
      <c r="D53" s="132" t="s">
        <v>133</v>
      </c>
      <c r="E53" s="133"/>
      <c r="F53" s="141"/>
      <c r="G53" s="127"/>
      <c r="H53" s="138"/>
      <c r="I53" s="105"/>
      <c r="J53" s="105"/>
      <c r="K53" s="141"/>
      <c r="L53" s="105"/>
      <c r="M53" s="143"/>
      <c r="N53" s="135"/>
      <c r="O53" s="139"/>
      <c r="P53" s="105"/>
      <c r="Q53" s="105"/>
      <c r="R53" s="141"/>
      <c r="S53" s="105"/>
      <c r="T53" s="141"/>
      <c r="U53" s="105"/>
      <c r="V53" s="145"/>
      <c r="W53" s="136"/>
      <c r="X53" s="141"/>
      <c r="Y53" s="145"/>
      <c r="Z53" s="139"/>
      <c r="AA53" s="141"/>
      <c r="AB53" s="139"/>
      <c r="AC53" s="139"/>
      <c r="AD53" s="103"/>
      <c r="AE53" s="139"/>
      <c r="AF53" s="141"/>
      <c r="AG53" s="145"/>
      <c r="AH53" s="139"/>
      <c r="AI53" s="139"/>
      <c r="AJ53" s="139"/>
      <c r="AK53" s="139"/>
      <c r="AL53" s="141"/>
      <c r="AM53" s="139"/>
      <c r="AN53" s="139"/>
      <c r="AO53" s="139"/>
      <c r="AP53" s="141"/>
      <c r="AQ53" s="144">
        <f t="shared" si="0"/>
        <v>0</v>
      </c>
    </row>
    <row r="54" spans="1:43" s="118" customFormat="1" ht="17.25" hidden="1" customHeight="1" x14ac:dyDescent="0.25">
      <c r="A54" s="306">
        <v>2</v>
      </c>
      <c r="B54" s="307"/>
      <c r="C54" s="192" t="s">
        <v>157</v>
      </c>
      <c r="D54" s="122"/>
      <c r="E54" s="193"/>
      <c r="F54" s="111"/>
      <c r="G54" s="194"/>
      <c r="H54" s="195"/>
      <c r="I54" s="117"/>
      <c r="J54" s="117"/>
      <c r="K54" s="111"/>
      <c r="L54" s="117"/>
      <c r="M54" s="196"/>
      <c r="N54" s="197"/>
      <c r="O54" s="198"/>
      <c r="P54" s="117"/>
      <c r="Q54" s="117"/>
      <c r="R54" s="111"/>
      <c r="S54" s="117"/>
      <c r="T54" s="111"/>
      <c r="U54" s="117"/>
      <c r="V54" s="199"/>
      <c r="W54" s="200"/>
      <c r="X54" s="111"/>
      <c r="Y54" s="199"/>
      <c r="Z54" s="198"/>
      <c r="AA54" s="111"/>
      <c r="AB54" s="198"/>
      <c r="AC54" s="198"/>
      <c r="AD54" s="195"/>
      <c r="AE54" s="198"/>
      <c r="AF54" s="111"/>
      <c r="AG54" s="199"/>
      <c r="AH54" s="198"/>
      <c r="AI54" s="198"/>
      <c r="AJ54" s="198"/>
      <c r="AK54" s="198"/>
      <c r="AL54" s="111"/>
      <c r="AM54" s="198"/>
      <c r="AN54" s="198"/>
      <c r="AO54" s="198"/>
      <c r="AP54" s="111"/>
      <c r="AQ54" s="144">
        <f t="shared" si="0"/>
        <v>0</v>
      </c>
    </row>
    <row r="55" spans="1:43" s="53" customFormat="1" ht="25.5" hidden="1" x14ac:dyDescent="0.2">
      <c r="A55" s="274"/>
      <c r="B55" s="275"/>
      <c r="C55" s="137" t="s">
        <v>158</v>
      </c>
      <c r="D55" s="132" t="s">
        <v>7</v>
      </c>
      <c r="E55" s="133"/>
      <c r="F55" s="141"/>
      <c r="G55" s="127"/>
      <c r="H55" s="138"/>
      <c r="I55" s="105"/>
      <c r="J55" s="105"/>
      <c r="K55" s="141"/>
      <c r="L55" s="105"/>
      <c r="M55" s="143"/>
      <c r="N55" s="135"/>
      <c r="O55" s="139"/>
      <c r="P55" s="105"/>
      <c r="Q55" s="105"/>
      <c r="R55" s="141"/>
      <c r="S55" s="105"/>
      <c r="T55" s="141"/>
      <c r="U55" s="105"/>
      <c r="V55" s="145"/>
      <c r="W55" s="136"/>
      <c r="X55" s="141"/>
      <c r="Y55" s="145"/>
      <c r="Z55" s="139"/>
      <c r="AA55" s="141"/>
      <c r="AB55" s="139"/>
      <c r="AC55" s="139"/>
      <c r="AD55" s="103"/>
      <c r="AE55" s="139"/>
      <c r="AF55" s="141"/>
      <c r="AG55" s="145"/>
      <c r="AH55" s="139"/>
      <c r="AI55" s="139"/>
      <c r="AJ55" s="139"/>
      <c r="AK55" s="139"/>
      <c r="AL55" s="141"/>
      <c r="AM55" s="139"/>
      <c r="AN55" s="139"/>
      <c r="AO55" s="139"/>
      <c r="AP55" s="141"/>
      <c r="AQ55" s="144">
        <f t="shared" si="0"/>
        <v>0</v>
      </c>
    </row>
    <row r="56" spans="1:43" s="53" customFormat="1" ht="25.5" hidden="1" x14ac:dyDescent="0.2">
      <c r="A56" s="274"/>
      <c r="B56" s="275"/>
      <c r="C56" s="137" t="s">
        <v>159</v>
      </c>
      <c r="D56" s="132" t="s">
        <v>7</v>
      </c>
      <c r="E56" s="133"/>
      <c r="F56" s="141"/>
      <c r="G56" s="127"/>
      <c r="H56" s="138"/>
      <c r="I56" s="105"/>
      <c r="J56" s="105"/>
      <c r="K56" s="141"/>
      <c r="L56" s="105"/>
      <c r="M56" s="143"/>
      <c r="N56" s="135"/>
      <c r="O56" s="139"/>
      <c r="P56" s="105"/>
      <c r="Q56" s="105"/>
      <c r="R56" s="141"/>
      <c r="S56" s="105"/>
      <c r="T56" s="141"/>
      <c r="U56" s="105"/>
      <c r="V56" s="145"/>
      <c r="W56" s="136"/>
      <c r="X56" s="141"/>
      <c r="Y56" s="145"/>
      <c r="Z56" s="139"/>
      <c r="AA56" s="141"/>
      <c r="AB56" s="139"/>
      <c r="AC56" s="139"/>
      <c r="AD56" s="103"/>
      <c r="AE56" s="139"/>
      <c r="AF56" s="141"/>
      <c r="AG56" s="145"/>
      <c r="AH56" s="139"/>
      <c r="AI56" s="139"/>
      <c r="AJ56" s="139"/>
      <c r="AK56" s="139"/>
      <c r="AL56" s="141"/>
      <c r="AM56" s="139"/>
      <c r="AN56" s="139"/>
      <c r="AO56" s="139"/>
      <c r="AP56" s="141"/>
      <c r="AQ56" s="144">
        <f t="shared" si="0"/>
        <v>0</v>
      </c>
    </row>
    <row r="57" spans="1:43" s="53" customFormat="1" ht="25.5" hidden="1" x14ac:dyDescent="0.2">
      <c r="A57" s="274"/>
      <c r="B57" s="275"/>
      <c r="C57" s="137" t="s">
        <v>160</v>
      </c>
      <c r="D57" s="132" t="s">
        <v>7</v>
      </c>
      <c r="E57" s="133"/>
      <c r="F57" s="141"/>
      <c r="G57" s="127"/>
      <c r="H57" s="138"/>
      <c r="I57" s="105"/>
      <c r="J57" s="105"/>
      <c r="K57" s="141"/>
      <c r="L57" s="105"/>
      <c r="M57" s="143"/>
      <c r="N57" s="135"/>
      <c r="O57" s="139"/>
      <c r="P57" s="105"/>
      <c r="Q57" s="105"/>
      <c r="R57" s="141"/>
      <c r="S57" s="105"/>
      <c r="T57" s="141"/>
      <c r="U57" s="105"/>
      <c r="V57" s="145"/>
      <c r="W57" s="136"/>
      <c r="X57" s="141"/>
      <c r="Y57" s="145"/>
      <c r="Z57" s="139"/>
      <c r="AA57" s="141"/>
      <c r="AB57" s="139"/>
      <c r="AC57" s="139"/>
      <c r="AD57" s="103"/>
      <c r="AE57" s="139"/>
      <c r="AF57" s="141"/>
      <c r="AG57" s="145"/>
      <c r="AH57" s="139"/>
      <c r="AI57" s="139"/>
      <c r="AJ57" s="139"/>
      <c r="AK57" s="139"/>
      <c r="AL57" s="141"/>
      <c r="AM57" s="139"/>
      <c r="AN57" s="139"/>
      <c r="AO57" s="139"/>
      <c r="AP57" s="141"/>
      <c r="AQ57" s="144">
        <f t="shared" si="0"/>
        <v>0</v>
      </c>
    </row>
    <row r="58" spans="1:43" s="53" customFormat="1" ht="25.5" hidden="1" x14ac:dyDescent="0.2">
      <c r="A58" s="274"/>
      <c r="B58" s="275"/>
      <c r="C58" s="137" t="s">
        <v>161</v>
      </c>
      <c r="D58" s="132" t="s">
        <v>7</v>
      </c>
      <c r="E58" s="133"/>
      <c r="F58" s="141"/>
      <c r="G58" s="127"/>
      <c r="H58" s="138"/>
      <c r="I58" s="105"/>
      <c r="J58" s="105"/>
      <c r="K58" s="141"/>
      <c r="L58" s="105"/>
      <c r="M58" s="143"/>
      <c r="N58" s="135"/>
      <c r="O58" s="139"/>
      <c r="P58" s="105"/>
      <c r="Q58" s="105"/>
      <c r="R58" s="141"/>
      <c r="S58" s="105"/>
      <c r="T58" s="141"/>
      <c r="U58" s="105"/>
      <c r="V58" s="145"/>
      <c r="W58" s="136"/>
      <c r="X58" s="141"/>
      <c r="Y58" s="145"/>
      <c r="Z58" s="139"/>
      <c r="AA58" s="141"/>
      <c r="AB58" s="139"/>
      <c r="AC58" s="139"/>
      <c r="AD58" s="103"/>
      <c r="AE58" s="139"/>
      <c r="AF58" s="141"/>
      <c r="AG58" s="145"/>
      <c r="AH58" s="139"/>
      <c r="AI58" s="139"/>
      <c r="AJ58" s="139"/>
      <c r="AK58" s="139"/>
      <c r="AL58" s="141"/>
      <c r="AM58" s="139"/>
      <c r="AN58" s="139"/>
      <c r="AO58" s="139"/>
      <c r="AP58" s="141"/>
      <c r="AQ58" s="144">
        <f t="shared" si="0"/>
        <v>0</v>
      </c>
    </row>
    <row r="59" spans="1:43" s="53" customFormat="1" ht="25.5" hidden="1" x14ac:dyDescent="0.2">
      <c r="A59" s="274"/>
      <c r="B59" s="275"/>
      <c r="C59" s="137" t="s">
        <v>162</v>
      </c>
      <c r="D59" s="132" t="s">
        <v>9</v>
      </c>
      <c r="E59" s="133"/>
      <c r="F59" s="141"/>
      <c r="G59" s="127"/>
      <c r="H59" s="138"/>
      <c r="I59" s="105"/>
      <c r="J59" s="105"/>
      <c r="K59" s="141"/>
      <c r="L59" s="105"/>
      <c r="M59" s="143"/>
      <c r="N59" s="135"/>
      <c r="O59" s="139"/>
      <c r="P59" s="105"/>
      <c r="Q59" s="105"/>
      <c r="R59" s="141"/>
      <c r="S59" s="105"/>
      <c r="T59" s="141"/>
      <c r="U59" s="105"/>
      <c r="V59" s="145"/>
      <c r="W59" s="136"/>
      <c r="X59" s="141"/>
      <c r="Y59" s="145"/>
      <c r="Z59" s="139"/>
      <c r="AA59" s="141"/>
      <c r="AB59" s="139"/>
      <c r="AC59" s="139"/>
      <c r="AD59" s="103"/>
      <c r="AE59" s="139"/>
      <c r="AF59" s="141"/>
      <c r="AG59" s="145"/>
      <c r="AH59" s="139"/>
      <c r="AI59" s="139"/>
      <c r="AJ59" s="139"/>
      <c r="AK59" s="139"/>
      <c r="AL59" s="141"/>
      <c r="AM59" s="139"/>
      <c r="AN59" s="139"/>
      <c r="AO59" s="139"/>
      <c r="AP59" s="141"/>
      <c r="AQ59" s="144">
        <f t="shared" si="0"/>
        <v>0</v>
      </c>
    </row>
    <row r="60" spans="1:43" s="53" customFormat="1" ht="25.5" hidden="1" x14ac:dyDescent="0.2">
      <c r="A60" s="274"/>
      <c r="B60" s="275"/>
      <c r="C60" s="137" t="s">
        <v>163</v>
      </c>
      <c r="D60" s="132" t="s">
        <v>9</v>
      </c>
      <c r="E60" s="133"/>
      <c r="F60" s="141"/>
      <c r="G60" s="127"/>
      <c r="H60" s="138"/>
      <c r="I60" s="105"/>
      <c r="J60" s="105"/>
      <c r="K60" s="141"/>
      <c r="L60" s="105"/>
      <c r="M60" s="143"/>
      <c r="N60" s="135"/>
      <c r="O60" s="139"/>
      <c r="P60" s="105"/>
      <c r="Q60" s="105"/>
      <c r="R60" s="141"/>
      <c r="S60" s="105"/>
      <c r="T60" s="141"/>
      <c r="U60" s="105"/>
      <c r="V60" s="145"/>
      <c r="W60" s="136"/>
      <c r="X60" s="141"/>
      <c r="Y60" s="145"/>
      <c r="Z60" s="139"/>
      <c r="AA60" s="141"/>
      <c r="AB60" s="139"/>
      <c r="AC60" s="139"/>
      <c r="AD60" s="103"/>
      <c r="AE60" s="139"/>
      <c r="AF60" s="141"/>
      <c r="AG60" s="145"/>
      <c r="AH60" s="139"/>
      <c r="AI60" s="139"/>
      <c r="AJ60" s="139"/>
      <c r="AK60" s="139"/>
      <c r="AL60" s="141"/>
      <c r="AM60" s="139"/>
      <c r="AN60" s="139"/>
      <c r="AO60" s="139"/>
      <c r="AP60" s="141"/>
      <c r="AQ60" s="144">
        <f t="shared" si="0"/>
        <v>0</v>
      </c>
    </row>
    <row r="61" spans="1:43" s="53" customFormat="1" ht="25.5" hidden="1" x14ac:dyDescent="0.2">
      <c r="A61" s="274"/>
      <c r="B61" s="275"/>
      <c r="C61" s="137" t="s">
        <v>164</v>
      </c>
      <c r="D61" s="132" t="s">
        <v>9</v>
      </c>
      <c r="E61" s="133"/>
      <c r="F61" s="141"/>
      <c r="G61" s="127"/>
      <c r="H61" s="138"/>
      <c r="I61" s="105"/>
      <c r="J61" s="105"/>
      <c r="K61" s="141"/>
      <c r="L61" s="105"/>
      <c r="M61" s="143"/>
      <c r="N61" s="135"/>
      <c r="O61" s="139"/>
      <c r="P61" s="105"/>
      <c r="Q61" s="105"/>
      <c r="R61" s="141"/>
      <c r="S61" s="105"/>
      <c r="T61" s="141"/>
      <c r="U61" s="105"/>
      <c r="V61" s="145"/>
      <c r="W61" s="136"/>
      <c r="X61" s="141"/>
      <c r="Y61" s="145"/>
      <c r="Z61" s="139"/>
      <c r="AA61" s="141"/>
      <c r="AB61" s="139"/>
      <c r="AC61" s="139"/>
      <c r="AD61" s="103"/>
      <c r="AE61" s="139"/>
      <c r="AF61" s="141"/>
      <c r="AG61" s="145"/>
      <c r="AH61" s="139"/>
      <c r="AI61" s="139"/>
      <c r="AJ61" s="139"/>
      <c r="AK61" s="139"/>
      <c r="AL61" s="141"/>
      <c r="AM61" s="139"/>
      <c r="AN61" s="139"/>
      <c r="AO61" s="139"/>
      <c r="AP61" s="141"/>
      <c r="AQ61" s="144">
        <f t="shared" si="0"/>
        <v>0</v>
      </c>
    </row>
    <row r="62" spans="1:43" s="53" customFormat="1" ht="25.5" hidden="1" x14ac:dyDescent="0.2">
      <c r="A62" s="274"/>
      <c r="B62" s="275"/>
      <c r="C62" s="137" t="s">
        <v>165</v>
      </c>
      <c r="D62" s="132" t="s">
        <v>166</v>
      </c>
      <c r="E62" s="133"/>
      <c r="F62" s="141"/>
      <c r="G62" s="127"/>
      <c r="H62" s="138"/>
      <c r="I62" s="105"/>
      <c r="J62" s="105"/>
      <c r="K62" s="141"/>
      <c r="L62" s="105"/>
      <c r="M62" s="143"/>
      <c r="N62" s="135"/>
      <c r="O62" s="139"/>
      <c r="P62" s="105"/>
      <c r="Q62" s="105"/>
      <c r="R62" s="141"/>
      <c r="S62" s="105"/>
      <c r="T62" s="141"/>
      <c r="U62" s="105"/>
      <c r="V62" s="145"/>
      <c r="W62" s="136"/>
      <c r="X62" s="141"/>
      <c r="Y62" s="145"/>
      <c r="Z62" s="139"/>
      <c r="AA62" s="141"/>
      <c r="AB62" s="139"/>
      <c r="AC62" s="139"/>
      <c r="AD62" s="103"/>
      <c r="AE62" s="139"/>
      <c r="AF62" s="141"/>
      <c r="AG62" s="145"/>
      <c r="AH62" s="139"/>
      <c r="AI62" s="139"/>
      <c r="AJ62" s="139"/>
      <c r="AK62" s="139"/>
      <c r="AL62" s="141"/>
      <c r="AM62" s="139"/>
      <c r="AN62" s="139"/>
      <c r="AO62" s="139"/>
      <c r="AP62" s="141"/>
      <c r="AQ62" s="144">
        <f t="shared" si="0"/>
        <v>0</v>
      </c>
    </row>
    <row r="63" spans="1:43" s="53" customFormat="1" hidden="1" x14ac:dyDescent="0.2">
      <c r="A63" s="274"/>
      <c r="B63" s="275"/>
      <c r="C63" s="137" t="s">
        <v>167</v>
      </c>
      <c r="D63" s="132" t="s">
        <v>9</v>
      </c>
      <c r="E63" s="133"/>
      <c r="F63" s="141"/>
      <c r="G63" s="127"/>
      <c r="H63" s="138"/>
      <c r="I63" s="105"/>
      <c r="J63" s="105"/>
      <c r="K63" s="141"/>
      <c r="L63" s="105"/>
      <c r="M63" s="143"/>
      <c r="N63" s="135"/>
      <c r="O63" s="139"/>
      <c r="P63" s="105"/>
      <c r="Q63" s="105"/>
      <c r="R63" s="141"/>
      <c r="S63" s="105"/>
      <c r="T63" s="141"/>
      <c r="U63" s="105"/>
      <c r="V63" s="145"/>
      <c r="W63" s="136"/>
      <c r="X63" s="141"/>
      <c r="Y63" s="145"/>
      <c r="Z63" s="139"/>
      <c r="AA63" s="141"/>
      <c r="AB63" s="139"/>
      <c r="AC63" s="139"/>
      <c r="AD63" s="103"/>
      <c r="AE63" s="139"/>
      <c r="AF63" s="141"/>
      <c r="AG63" s="145"/>
      <c r="AH63" s="139"/>
      <c r="AI63" s="139"/>
      <c r="AJ63" s="139"/>
      <c r="AK63" s="139"/>
      <c r="AL63" s="141"/>
      <c r="AM63" s="139"/>
      <c r="AN63" s="139"/>
      <c r="AO63" s="139"/>
      <c r="AP63" s="141"/>
      <c r="AQ63" s="144">
        <f t="shared" si="0"/>
        <v>0</v>
      </c>
    </row>
    <row r="64" spans="1:43" s="53" customFormat="1" hidden="1" x14ac:dyDescent="0.2">
      <c r="A64" s="274"/>
      <c r="B64" s="275"/>
      <c r="C64" s="137" t="s">
        <v>145</v>
      </c>
      <c r="D64" s="132" t="s">
        <v>9</v>
      </c>
      <c r="E64" s="133"/>
      <c r="F64" s="141"/>
      <c r="G64" s="127"/>
      <c r="H64" s="138"/>
      <c r="I64" s="105"/>
      <c r="J64" s="105"/>
      <c r="K64" s="141"/>
      <c r="L64" s="105"/>
      <c r="M64" s="143"/>
      <c r="N64" s="135"/>
      <c r="O64" s="139"/>
      <c r="P64" s="105"/>
      <c r="Q64" s="105"/>
      <c r="R64" s="141"/>
      <c r="S64" s="105"/>
      <c r="T64" s="141"/>
      <c r="U64" s="105"/>
      <c r="V64" s="145"/>
      <c r="W64" s="136"/>
      <c r="X64" s="141"/>
      <c r="Y64" s="145"/>
      <c r="Z64" s="139"/>
      <c r="AA64" s="141"/>
      <c r="AB64" s="139"/>
      <c r="AC64" s="139"/>
      <c r="AD64" s="103"/>
      <c r="AE64" s="139"/>
      <c r="AF64" s="141"/>
      <c r="AG64" s="145"/>
      <c r="AH64" s="139"/>
      <c r="AI64" s="139"/>
      <c r="AJ64" s="139"/>
      <c r="AK64" s="139"/>
      <c r="AL64" s="141"/>
      <c r="AM64" s="139"/>
      <c r="AN64" s="139"/>
      <c r="AO64" s="139"/>
      <c r="AP64" s="141"/>
      <c r="AQ64" s="144">
        <f t="shared" si="0"/>
        <v>0</v>
      </c>
    </row>
    <row r="65" spans="1:43" s="53" customFormat="1" ht="25.5" hidden="1" x14ac:dyDescent="0.2">
      <c r="A65" s="274"/>
      <c r="B65" s="275"/>
      <c r="C65" s="137" t="s">
        <v>146</v>
      </c>
      <c r="D65" s="132" t="s">
        <v>9</v>
      </c>
      <c r="E65" s="133"/>
      <c r="F65" s="141"/>
      <c r="G65" s="127"/>
      <c r="H65" s="138"/>
      <c r="I65" s="105"/>
      <c r="J65" s="105"/>
      <c r="K65" s="141"/>
      <c r="L65" s="105"/>
      <c r="M65" s="143"/>
      <c r="N65" s="135"/>
      <c r="O65" s="139"/>
      <c r="P65" s="105"/>
      <c r="Q65" s="105"/>
      <c r="R65" s="141"/>
      <c r="S65" s="105"/>
      <c r="T65" s="141"/>
      <c r="U65" s="105"/>
      <c r="V65" s="145"/>
      <c r="W65" s="136"/>
      <c r="X65" s="141"/>
      <c r="Y65" s="145"/>
      <c r="Z65" s="139"/>
      <c r="AA65" s="141"/>
      <c r="AB65" s="139"/>
      <c r="AC65" s="139"/>
      <c r="AD65" s="103"/>
      <c r="AE65" s="139"/>
      <c r="AF65" s="141"/>
      <c r="AG65" s="145"/>
      <c r="AH65" s="139"/>
      <c r="AI65" s="139"/>
      <c r="AJ65" s="139"/>
      <c r="AK65" s="139"/>
      <c r="AL65" s="141"/>
      <c r="AM65" s="139"/>
      <c r="AN65" s="139"/>
      <c r="AO65" s="139"/>
      <c r="AP65" s="141"/>
      <c r="AQ65" s="144">
        <f t="shared" si="0"/>
        <v>0</v>
      </c>
    </row>
    <row r="66" spans="1:43" s="53" customFormat="1" hidden="1" x14ac:dyDescent="0.2">
      <c r="A66" s="294"/>
      <c r="B66" s="295"/>
      <c r="C66" s="137" t="s">
        <v>168</v>
      </c>
      <c r="D66" s="132" t="s">
        <v>7</v>
      </c>
      <c r="E66" s="133"/>
      <c r="F66" s="141"/>
      <c r="G66" s="127"/>
      <c r="H66" s="138"/>
      <c r="I66" s="105"/>
      <c r="J66" s="105"/>
      <c r="K66" s="141"/>
      <c r="L66" s="105"/>
      <c r="M66" s="143"/>
      <c r="N66" s="135"/>
      <c r="O66" s="139"/>
      <c r="P66" s="105"/>
      <c r="Q66" s="105"/>
      <c r="R66" s="141"/>
      <c r="S66" s="105"/>
      <c r="T66" s="141"/>
      <c r="U66" s="105"/>
      <c r="V66" s="145"/>
      <c r="W66" s="136"/>
      <c r="X66" s="141"/>
      <c r="Y66" s="145"/>
      <c r="Z66" s="139"/>
      <c r="AA66" s="141"/>
      <c r="AB66" s="139"/>
      <c r="AC66" s="139"/>
      <c r="AD66" s="103"/>
      <c r="AE66" s="139"/>
      <c r="AF66" s="141"/>
      <c r="AG66" s="145"/>
      <c r="AH66" s="139"/>
      <c r="AI66" s="139"/>
      <c r="AJ66" s="139"/>
      <c r="AK66" s="139"/>
      <c r="AL66" s="141"/>
      <c r="AM66" s="139"/>
      <c r="AN66" s="139"/>
      <c r="AO66" s="139"/>
      <c r="AP66" s="141"/>
      <c r="AQ66" s="144">
        <f t="shared" si="0"/>
        <v>0</v>
      </c>
    </row>
    <row r="67" spans="1:43" s="53" customFormat="1" ht="25.5" hidden="1" x14ac:dyDescent="0.2">
      <c r="A67" s="274"/>
      <c r="B67" s="275"/>
      <c r="C67" s="137" t="s">
        <v>169</v>
      </c>
      <c r="D67" s="132" t="s">
        <v>9</v>
      </c>
      <c r="E67" s="133"/>
      <c r="F67" s="141"/>
      <c r="G67" s="127"/>
      <c r="H67" s="138"/>
      <c r="I67" s="105"/>
      <c r="J67" s="105"/>
      <c r="K67" s="141"/>
      <c r="L67" s="105"/>
      <c r="M67" s="143"/>
      <c r="N67" s="135"/>
      <c r="O67" s="139"/>
      <c r="P67" s="105"/>
      <c r="Q67" s="105"/>
      <c r="R67" s="141"/>
      <c r="S67" s="105"/>
      <c r="T67" s="141"/>
      <c r="U67" s="105"/>
      <c r="V67" s="145"/>
      <c r="W67" s="136"/>
      <c r="X67" s="141"/>
      <c r="Y67" s="145"/>
      <c r="Z67" s="139"/>
      <c r="AA67" s="141"/>
      <c r="AB67" s="139"/>
      <c r="AC67" s="139"/>
      <c r="AD67" s="103"/>
      <c r="AE67" s="139"/>
      <c r="AF67" s="141"/>
      <c r="AG67" s="145"/>
      <c r="AH67" s="139"/>
      <c r="AI67" s="139"/>
      <c r="AJ67" s="139"/>
      <c r="AK67" s="139"/>
      <c r="AL67" s="141"/>
      <c r="AM67" s="139"/>
      <c r="AN67" s="139"/>
      <c r="AO67" s="139"/>
      <c r="AP67" s="141"/>
      <c r="AQ67" s="144">
        <f t="shared" si="0"/>
        <v>0</v>
      </c>
    </row>
    <row r="68" spans="1:43" s="53" customFormat="1" ht="25.5" hidden="1" x14ac:dyDescent="0.2">
      <c r="A68" s="274"/>
      <c r="B68" s="275"/>
      <c r="C68" s="137" t="s">
        <v>170</v>
      </c>
      <c r="D68" s="132" t="s">
        <v>9</v>
      </c>
      <c r="E68" s="133"/>
      <c r="F68" s="141"/>
      <c r="G68" s="127"/>
      <c r="H68" s="138"/>
      <c r="I68" s="105"/>
      <c r="J68" s="105"/>
      <c r="K68" s="141"/>
      <c r="L68" s="105"/>
      <c r="M68" s="143"/>
      <c r="N68" s="135"/>
      <c r="O68" s="139"/>
      <c r="P68" s="105"/>
      <c r="Q68" s="105"/>
      <c r="R68" s="141"/>
      <c r="S68" s="105"/>
      <c r="T68" s="141"/>
      <c r="U68" s="105"/>
      <c r="V68" s="145"/>
      <c r="W68" s="136"/>
      <c r="X68" s="141"/>
      <c r="Y68" s="145"/>
      <c r="Z68" s="139"/>
      <c r="AA68" s="141"/>
      <c r="AB68" s="139"/>
      <c r="AC68" s="139"/>
      <c r="AD68" s="103"/>
      <c r="AE68" s="139"/>
      <c r="AF68" s="141"/>
      <c r="AG68" s="145"/>
      <c r="AH68" s="139"/>
      <c r="AI68" s="139"/>
      <c r="AJ68" s="139"/>
      <c r="AK68" s="139"/>
      <c r="AL68" s="141"/>
      <c r="AM68" s="139"/>
      <c r="AN68" s="139"/>
      <c r="AO68" s="139"/>
      <c r="AP68" s="141"/>
      <c r="AQ68" s="144">
        <f t="shared" si="0"/>
        <v>0</v>
      </c>
    </row>
    <row r="69" spans="1:43" s="53" customFormat="1" ht="25.5" hidden="1" x14ac:dyDescent="0.2">
      <c r="A69" s="274"/>
      <c r="B69" s="275"/>
      <c r="C69" s="137" t="s">
        <v>171</v>
      </c>
      <c r="D69" s="132" t="s">
        <v>9</v>
      </c>
      <c r="E69" s="133"/>
      <c r="F69" s="141"/>
      <c r="G69" s="127"/>
      <c r="H69" s="138"/>
      <c r="I69" s="105"/>
      <c r="J69" s="105"/>
      <c r="K69" s="141"/>
      <c r="L69" s="105"/>
      <c r="M69" s="143"/>
      <c r="N69" s="135"/>
      <c r="O69" s="139"/>
      <c r="P69" s="105"/>
      <c r="Q69" s="105"/>
      <c r="R69" s="141"/>
      <c r="S69" s="105"/>
      <c r="T69" s="141"/>
      <c r="U69" s="105"/>
      <c r="V69" s="145"/>
      <c r="W69" s="136"/>
      <c r="X69" s="141"/>
      <c r="Y69" s="145"/>
      <c r="Z69" s="139"/>
      <c r="AA69" s="141"/>
      <c r="AB69" s="139"/>
      <c r="AC69" s="139"/>
      <c r="AD69" s="103"/>
      <c r="AE69" s="139"/>
      <c r="AF69" s="141"/>
      <c r="AG69" s="145"/>
      <c r="AH69" s="139"/>
      <c r="AI69" s="139"/>
      <c r="AJ69" s="139"/>
      <c r="AK69" s="139"/>
      <c r="AL69" s="141"/>
      <c r="AM69" s="139"/>
      <c r="AN69" s="139"/>
      <c r="AO69" s="139"/>
      <c r="AP69" s="141"/>
      <c r="AQ69" s="144">
        <f t="shared" si="0"/>
        <v>0</v>
      </c>
    </row>
    <row r="70" spans="1:43" ht="25.5" hidden="1" x14ac:dyDescent="0.2">
      <c r="A70" s="294"/>
      <c r="B70" s="295"/>
      <c r="C70" s="137" t="s">
        <v>141</v>
      </c>
      <c r="D70" s="132" t="s">
        <v>9</v>
      </c>
      <c r="E70" s="133"/>
      <c r="F70" s="201"/>
      <c r="G70" s="127"/>
      <c r="H70" s="138"/>
      <c r="I70" s="105"/>
      <c r="J70" s="105"/>
      <c r="K70" s="201"/>
      <c r="L70" s="105"/>
      <c r="M70" s="143"/>
      <c r="N70" s="135"/>
      <c r="O70" s="139"/>
      <c r="P70" s="105"/>
      <c r="Q70" s="105"/>
      <c r="R70" s="201"/>
      <c r="S70" s="105"/>
      <c r="T70" s="201"/>
      <c r="U70" s="105"/>
      <c r="V70" s="145"/>
      <c r="W70" s="136"/>
      <c r="X70" s="201"/>
      <c r="Y70" s="145"/>
      <c r="Z70" s="139"/>
      <c r="AA70" s="201"/>
      <c r="AB70" s="139"/>
      <c r="AC70" s="139"/>
      <c r="AD70" s="103"/>
      <c r="AE70" s="139"/>
      <c r="AF70" s="201"/>
      <c r="AG70" s="145"/>
      <c r="AH70" s="139"/>
      <c r="AI70" s="139"/>
      <c r="AJ70" s="139"/>
      <c r="AK70" s="139"/>
      <c r="AL70" s="201"/>
      <c r="AM70" s="139"/>
      <c r="AN70" s="139"/>
      <c r="AO70" s="139"/>
      <c r="AP70" s="201"/>
      <c r="AQ70" s="144">
        <f t="shared" si="0"/>
        <v>0</v>
      </c>
    </row>
    <row r="71" spans="1:43" ht="25.5" hidden="1" x14ac:dyDescent="0.2">
      <c r="A71" s="274"/>
      <c r="B71" s="275"/>
      <c r="C71" s="137" t="s">
        <v>172</v>
      </c>
      <c r="D71" s="132" t="s">
        <v>9</v>
      </c>
      <c r="E71" s="133"/>
      <c r="F71" s="201"/>
      <c r="G71" s="127"/>
      <c r="H71" s="138"/>
      <c r="I71" s="105"/>
      <c r="J71" s="105"/>
      <c r="K71" s="201"/>
      <c r="L71" s="105"/>
      <c r="M71" s="143"/>
      <c r="N71" s="135"/>
      <c r="O71" s="139"/>
      <c r="P71" s="105"/>
      <c r="Q71" s="105"/>
      <c r="R71" s="201"/>
      <c r="S71" s="105"/>
      <c r="T71" s="201"/>
      <c r="U71" s="105"/>
      <c r="V71" s="145"/>
      <c r="W71" s="136"/>
      <c r="X71" s="201"/>
      <c r="Y71" s="145"/>
      <c r="Z71" s="139"/>
      <c r="AA71" s="201"/>
      <c r="AB71" s="139"/>
      <c r="AC71" s="139"/>
      <c r="AD71" s="103"/>
      <c r="AE71" s="139"/>
      <c r="AF71" s="201"/>
      <c r="AG71" s="145"/>
      <c r="AH71" s="139"/>
      <c r="AI71" s="139"/>
      <c r="AJ71" s="139"/>
      <c r="AK71" s="139"/>
      <c r="AL71" s="201"/>
      <c r="AM71" s="139"/>
      <c r="AN71" s="139"/>
      <c r="AO71" s="139"/>
      <c r="AP71" s="201"/>
      <c r="AQ71" s="144">
        <f t="shared" si="0"/>
        <v>0</v>
      </c>
    </row>
    <row r="72" spans="1:43" ht="25.5" hidden="1" x14ac:dyDescent="0.2">
      <c r="A72" s="294"/>
      <c r="B72" s="295"/>
      <c r="C72" s="137" t="s">
        <v>173</v>
      </c>
      <c r="D72" s="132" t="s">
        <v>174</v>
      </c>
      <c r="E72" s="133"/>
      <c r="F72" s="201"/>
      <c r="G72" s="127"/>
      <c r="H72" s="138"/>
      <c r="I72" s="105"/>
      <c r="J72" s="105"/>
      <c r="K72" s="201"/>
      <c r="L72" s="105"/>
      <c r="M72" s="143"/>
      <c r="N72" s="135"/>
      <c r="O72" s="139"/>
      <c r="P72" s="105"/>
      <c r="Q72" s="105"/>
      <c r="R72" s="201"/>
      <c r="S72" s="105"/>
      <c r="T72" s="201"/>
      <c r="U72" s="105"/>
      <c r="V72" s="145"/>
      <c r="W72" s="136"/>
      <c r="X72" s="201"/>
      <c r="Y72" s="145"/>
      <c r="Z72" s="139"/>
      <c r="AA72" s="201"/>
      <c r="AB72" s="139"/>
      <c r="AC72" s="139"/>
      <c r="AD72" s="103"/>
      <c r="AE72" s="139"/>
      <c r="AF72" s="201"/>
      <c r="AG72" s="145"/>
      <c r="AH72" s="139"/>
      <c r="AI72" s="139"/>
      <c r="AJ72" s="139"/>
      <c r="AK72" s="139"/>
      <c r="AL72" s="201"/>
      <c r="AM72" s="139"/>
      <c r="AN72" s="139"/>
      <c r="AO72" s="139"/>
      <c r="AP72" s="201"/>
      <c r="AQ72" s="144">
        <f t="shared" si="0"/>
        <v>0</v>
      </c>
    </row>
    <row r="73" spans="1:43" hidden="1" x14ac:dyDescent="0.2">
      <c r="A73" s="274"/>
      <c r="B73" s="275"/>
      <c r="C73" s="137" t="s">
        <v>175</v>
      </c>
      <c r="D73" s="132" t="s">
        <v>7</v>
      </c>
      <c r="E73" s="133"/>
      <c r="F73" s="201"/>
      <c r="G73" s="127"/>
      <c r="H73" s="138"/>
      <c r="I73" s="105"/>
      <c r="J73" s="105"/>
      <c r="K73" s="201"/>
      <c r="L73" s="105"/>
      <c r="M73" s="143"/>
      <c r="N73" s="135"/>
      <c r="O73" s="139"/>
      <c r="P73" s="105"/>
      <c r="Q73" s="105"/>
      <c r="R73" s="201"/>
      <c r="S73" s="105"/>
      <c r="T73" s="201"/>
      <c r="U73" s="105"/>
      <c r="V73" s="145"/>
      <c r="W73" s="136"/>
      <c r="X73" s="201"/>
      <c r="Y73" s="145"/>
      <c r="Z73" s="139"/>
      <c r="AA73" s="201"/>
      <c r="AB73" s="139"/>
      <c r="AC73" s="139"/>
      <c r="AD73" s="103"/>
      <c r="AE73" s="139"/>
      <c r="AF73" s="201"/>
      <c r="AG73" s="145"/>
      <c r="AH73" s="139"/>
      <c r="AI73" s="139"/>
      <c r="AJ73" s="139"/>
      <c r="AK73" s="139"/>
      <c r="AL73" s="201"/>
      <c r="AM73" s="139"/>
      <c r="AN73" s="139"/>
      <c r="AO73" s="139"/>
      <c r="AP73" s="201"/>
      <c r="AQ73" s="144">
        <f t="shared" si="0"/>
        <v>0</v>
      </c>
    </row>
    <row r="74" spans="1:43" ht="25.5" hidden="1" x14ac:dyDescent="0.2">
      <c r="A74" s="294"/>
      <c r="B74" s="295"/>
      <c r="C74" s="137" t="s">
        <v>176</v>
      </c>
      <c r="D74" s="132" t="s">
        <v>9</v>
      </c>
      <c r="E74" s="133"/>
      <c r="F74" s="201"/>
      <c r="G74" s="127"/>
      <c r="H74" s="138"/>
      <c r="I74" s="105"/>
      <c r="J74" s="105"/>
      <c r="K74" s="201"/>
      <c r="L74" s="105"/>
      <c r="M74" s="143"/>
      <c r="N74" s="135"/>
      <c r="O74" s="139"/>
      <c r="P74" s="105"/>
      <c r="Q74" s="105"/>
      <c r="R74" s="201"/>
      <c r="S74" s="105"/>
      <c r="T74" s="201"/>
      <c r="U74" s="105"/>
      <c r="V74" s="145"/>
      <c r="W74" s="136"/>
      <c r="X74" s="201"/>
      <c r="Y74" s="145"/>
      <c r="Z74" s="139"/>
      <c r="AA74" s="201"/>
      <c r="AB74" s="139"/>
      <c r="AC74" s="139"/>
      <c r="AD74" s="103"/>
      <c r="AE74" s="139"/>
      <c r="AF74" s="201"/>
      <c r="AG74" s="145"/>
      <c r="AH74" s="139"/>
      <c r="AI74" s="139"/>
      <c r="AJ74" s="139"/>
      <c r="AK74" s="139"/>
      <c r="AL74" s="201"/>
      <c r="AM74" s="139"/>
      <c r="AN74" s="139"/>
      <c r="AO74" s="139"/>
      <c r="AP74" s="201"/>
      <c r="AQ74" s="144">
        <f t="shared" si="0"/>
        <v>0</v>
      </c>
    </row>
    <row r="75" spans="1:43" s="118" customFormat="1" ht="17.25" hidden="1" customHeight="1" x14ac:dyDescent="0.25">
      <c r="A75" s="306">
        <v>3</v>
      </c>
      <c r="B75" s="307"/>
      <c r="C75" s="192" t="s">
        <v>177</v>
      </c>
      <c r="D75" s="122"/>
      <c r="E75" s="193"/>
      <c r="F75" s="111"/>
      <c r="G75" s="194"/>
      <c r="H75" s="195"/>
      <c r="I75" s="117"/>
      <c r="J75" s="117"/>
      <c r="K75" s="111"/>
      <c r="L75" s="117"/>
      <c r="M75" s="196"/>
      <c r="N75" s="197"/>
      <c r="O75" s="198"/>
      <c r="P75" s="117"/>
      <c r="Q75" s="117"/>
      <c r="R75" s="111"/>
      <c r="S75" s="117"/>
      <c r="T75" s="111"/>
      <c r="U75" s="117"/>
      <c r="V75" s="199"/>
      <c r="W75" s="200"/>
      <c r="X75" s="111"/>
      <c r="Y75" s="199"/>
      <c r="Z75" s="198"/>
      <c r="AA75" s="111"/>
      <c r="AB75" s="198"/>
      <c r="AC75" s="198"/>
      <c r="AD75" s="195"/>
      <c r="AE75" s="198"/>
      <c r="AF75" s="111"/>
      <c r="AG75" s="199"/>
      <c r="AH75" s="198"/>
      <c r="AI75" s="198"/>
      <c r="AJ75" s="198"/>
      <c r="AK75" s="198"/>
      <c r="AL75" s="111"/>
      <c r="AM75" s="198"/>
      <c r="AN75" s="198"/>
      <c r="AO75" s="198"/>
      <c r="AP75" s="111"/>
      <c r="AQ75" s="144">
        <f t="shared" si="0"/>
        <v>0</v>
      </c>
    </row>
    <row r="76" spans="1:43" ht="25.5" hidden="1" x14ac:dyDescent="0.2">
      <c r="A76" s="294"/>
      <c r="B76" s="295"/>
      <c r="C76" s="137" t="s">
        <v>178</v>
      </c>
      <c r="D76" s="132" t="s">
        <v>7</v>
      </c>
      <c r="E76" s="133"/>
      <c r="F76" s="201"/>
      <c r="G76" s="127"/>
      <c r="H76" s="138"/>
      <c r="I76" s="105"/>
      <c r="J76" s="105"/>
      <c r="K76" s="201"/>
      <c r="L76" s="105"/>
      <c r="M76" s="143"/>
      <c r="N76" s="135"/>
      <c r="O76" s="139"/>
      <c r="P76" s="105"/>
      <c r="Q76" s="105"/>
      <c r="R76" s="201"/>
      <c r="S76" s="105"/>
      <c r="T76" s="201"/>
      <c r="U76" s="105"/>
      <c r="V76" s="145"/>
      <c r="W76" s="136"/>
      <c r="X76" s="201"/>
      <c r="Y76" s="145"/>
      <c r="Z76" s="139"/>
      <c r="AA76" s="201"/>
      <c r="AB76" s="139"/>
      <c r="AC76" s="139"/>
      <c r="AD76" s="103"/>
      <c r="AE76" s="139"/>
      <c r="AF76" s="201"/>
      <c r="AG76" s="145"/>
      <c r="AH76" s="139"/>
      <c r="AI76" s="139"/>
      <c r="AJ76" s="139"/>
      <c r="AK76" s="139"/>
      <c r="AL76" s="201"/>
      <c r="AM76" s="139"/>
      <c r="AN76" s="139"/>
      <c r="AO76" s="139"/>
      <c r="AP76" s="201"/>
      <c r="AQ76" s="144">
        <f t="shared" si="0"/>
        <v>0</v>
      </c>
    </row>
    <row r="77" spans="1:43" ht="25.5" hidden="1" x14ac:dyDescent="0.2">
      <c r="A77" s="294"/>
      <c r="B77" s="295"/>
      <c r="C77" s="137" t="s">
        <v>179</v>
      </c>
      <c r="D77" s="132" t="s">
        <v>7</v>
      </c>
      <c r="E77" s="133"/>
      <c r="F77" s="201"/>
      <c r="G77" s="127"/>
      <c r="H77" s="138"/>
      <c r="I77" s="105"/>
      <c r="J77" s="105"/>
      <c r="K77" s="201"/>
      <c r="L77" s="105"/>
      <c r="M77" s="143"/>
      <c r="N77" s="135"/>
      <c r="O77" s="139"/>
      <c r="P77" s="105"/>
      <c r="Q77" s="105"/>
      <c r="R77" s="201"/>
      <c r="S77" s="105"/>
      <c r="T77" s="201"/>
      <c r="U77" s="105"/>
      <c r="V77" s="145"/>
      <c r="W77" s="136"/>
      <c r="X77" s="201"/>
      <c r="Y77" s="145"/>
      <c r="Z77" s="139"/>
      <c r="AA77" s="201"/>
      <c r="AB77" s="139"/>
      <c r="AC77" s="139"/>
      <c r="AD77" s="103"/>
      <c r="AE77" s="139"/>
      <c r="AF77" s="201"/>
      <c r="AG77" s="145"/>
      <c r="AH77" s="139"/>
      <c r="AI77" s="139"/>
      <c r="AJ77" s="139"/>
      <c r="AK77" s="139"/>
      <c r="AL77" s="201"/>
      <c r="AM77" s="139"/>
      <c r="AN77" s="139"/>
      <c r="AO77" s="139"/>
      <c r="AP77" s="201"/>
      <c r="AQ77" s="144">
        <f t="shared" si="0"/>
        <v>0</v>
      </c>
    </row>
    <row r="78" spans="1:43" ht="25.5" hidden="1" x14ac:dyDescent="0.2">
      <c r="A78" s="294"/>
      <c r="B78" s="295"/>
      <c r="C78" s="137" t="s">
        <v>180</v>
      </c>
      <c r="D78" s="132" t="s">
        <v>7</v>
      </c>
      <c r="E78" s="133"/>
      <c r="F78" s="201"/>
      <c r="G78" s="127"/>
      <c r="H78" s="138"/>
      <c r="I78" s="105"/>
      <c r="J78" s="105"/>
      <c r="K78" s="201"/>
      <c r="L78" s="105"/>
      <c r="M78" s="143"/>
      <c r="N78" s="135"/>
      <c r="O78" s="139"/>
      <c r="P78" s="105"/>
      <c r="Q78" s="105"/>
      <c r="R78" s="201"/>
      <c r="S78" s="105"/>
      <c r="T78" s="201"/>
      <c r="U78" s="105"/>
      <c r="V78" s="145"/>
      <c r="W78" s="136"/>
      <c r="X78" s="201"/>
      <c r="Y78" s="145"/>
      <c r="Z78" s="139"/>
      <c r="AA78" s="201"/>
      <c r="AB78" s="139"/>
      <c r="AC78" s="139"/>
      <c r="AD78" s="103"/>
      <c r="AE78" s="139"/>
      <c r="AF78" s="201"/>
      <c r="AG78" s="145"/>
      <c r="AH78" s="139"/>
      <c r="AI78" s="139"/>
      <c r="AJ78" s="139"/>
      <c r="AK78" s="139"/>
      <c r="AL78" s="201"/>
      <c r="AM78" s="139"/>
      <c r="AN78" s="139"/>
      <c r="AO78" s="139"/>
      <c r="AP78" s="201"/>
      <c r="AQ78" s="144">
        <f t="shared" ref="AQ78:AQ141" si="5">SUM(E78:AP78)</f>
        <v>0</v>
      </c>
    </row>
    <row r="79" spans="1:43" hidden="1" x14ac:dyDescent="0.2">
      <c r="A79" s="274"/>
      <c r="B79" s="275"/>
      <c r="C79" s="137" t="s">
        <v>181</v>
      </c>
      <c r="D79" s="132" t="s">
        <v>9</v>
      </c>
      <c r="E79" s="133"/>
      <c r="F79" s="201"/>
      <c r="G79" s="127"/>
      <c r="H79" s="138"/>
      <c r="I79" s="105"/>
      <c r="J79" s="105"/>
      <c r="K79" s="201"/>
      <c r="L79" s="105"/>
      <c r="M79" s="143"/>
      <c r="N79" s="135"/>
      <c r="O79" s="139"/>
      <c r="P79" s="105"/>
      <c r="Q79" s="105"/>
      <c r="R79" s="201"/>
      <c r="S79" s="105"/>
      <c r="T79" s="201"/>
      <c r="U79" s="105"/>
      <c r="V79" s="145"/>
      <c r="W79" s="136"/>
      <c r="X79" s="201"/>
      <c r="Y79" s="145"/>
      <c r="Z79" s="139"/>
      <c r="AA79" s="201"/>
      <c r="AB79" s="139"/>
      <c r="AC79" s="139"/>
      <c r="AD79" s="103"/>
      <c r="AE79" s="139"/>
      <c r="AF79" s="201"/>
      <c r="AG79" s="145"/>
      <c r="AH79" s="139"/>
      <c r="AI79" s="139"/>
      <c r="AJ79" s="139"/>
      <c r="AK79" s="139"/>
      <c r="AL79" s="201"/>
      <c r="AM79" s="139"/>
      <c r="AN79" s="139"/>
      <c r="AO79" s="139"/>
      <c r="AP79" s="201"/>
      <c r="AQ79" s="144">
        <f t="shared" si="5"/>
        <v>0</v>
      </c>
    </row>
    <row r="80" spans="1:43" ht="25.5" hidden="1" x14ac:dyDescent="0.2">
      <c r="A80" s="274"/>
      <c r="B80" s="275"/>
      <c r="C80" s="137" t="s">
        <v>182</v>
      </c>
      <c r="D80" s="132" t="s">
        <v>9</v>
      </c>
      <c r="E80" s="133"/>
      <c r="F80" s="201"/>
      <c r="G80" s="127"/>
      <c r="H80" s="138"/>
      <c r="I80" s="105"/>
      <c r="J80" s="105"/>
      <c r="K80" s="201"/>
      <c r="L80" s="105"/>
      <c r="M80" s="143"/>
      <c r="N80" s="135"/>
      <c r="O80" s="139"/>
      <c r="P80" s="105"/>
      <c r="Q80" s="105"/>
      <c r="R80" s="201"/>
      <c r="S80" s="105"/>
      <c r="T80" s="201"/>
      <c r="U80" s="105"/>
      <c r="V80" s="145"/>
      <c r="W80" s="136"/>
      <c r="X80" s="201"/>
      <c r="Y80" s="145"/>
      <c r="Z80" s="139"/>
      <c r="AA80" s="201"/>
      <c r="AB80" s="139"/>
      <c r="AC80" s="139"/>
      <c r="AD80" s="103"/>
      <c r="AE80" s="139"/>
      <c r="AF80" s="201"/>
      <c r="AG80" s="145"/>
      <c r="AH80" s="139"/>
      <c r="AI80" s="139"/>
      <c r="AJ80" s="139"/>
      <c r="AK80" s="139"/>
      <c r="AL80" s="201"/>
      <c r="AM80" s="139"/>
      <c r="AN80" s="139"/>
      <c r="AO80" s="139"/>
      <c r="AP80" s="201"/>
      <c r="AQ80" s="144">
        <f t="shared" si="5"/>
        <v>0</v>
      </c>
    </row>
    <row r="81" spans="1:43" ht="51" hidden="1" x14ac:dyDescent="0.2">
      <c r="A81" s="274"/>
      <c r="B81" s="275"/>
      <c r="C81" s="137" t="s">
        <v>183</v>
      </c>
      <c r="D81" s="132" t="s">
        <v>9</v>
      </c>
      <c r="E81" s="133"/>
      <c r="F81" s="201"/>
      <c r="G81" s="127"/>
      <c r="H81" s="138"/>
      <c r="I81" s="105"/>
      <c r="J81" s="105"/>
      <c r="K81" s="201"/>
      <c r="L81" s="105"/>
      <c r="M81" s="143"/>
      <c r="N81" s="135"/>
      <c r="O81" s="139"/>
      <c r="P81" s="105"/>
      <c r="Q81" s="105"/>
      <c r="R81" s="201"/>
      <c r="S81" s="105"/>
      <c r="T81" s="201"/>
      <c r="U81" s="105"/>
      <c r="V81" s="145"/>
      <c r="W81" s="136"/>
      <c r="X81" s="201"/>
      <c r="Y81" s="145"/>
      <c r="Z81" s="139"/>
      <c r="AA81" s="201"/>
      <c r="AB81" s="139"/>
      <c r="AC81" s="139"/>
      <c r="AD81" s="103"/>
      <c r="AE81" s="139"/>
      <c r="AF81" s="201"/>
      <c r="AG81" s="145"/>
      <c r="AH81" s="139"/>
      <c r="AI81" s="139"/>
      <c r="AJ81" s="139"/>
      <c r="AK81" s="139"/>
      <c r="AL81" s="201"/>
      <c r="AM81" s="139"/>
      <c r="AN81" s="139"/>
      <c r="AO81" s="139"/>
      <c r="AP81" s="201"/>
      <c r="AQ81" s="144">
        <f t="shared" si="5"/>
        <v>0</v>
      </c>
    </row>
    <row r="82" spans="1:43" ht="25.5" hidden="1" x14ac:dyDescent="0.2">
      <c r="A82" s="274"/>
      <c r="B82" s="275"/>
      <c r="C82" s="137" t="s">
        <v>184</v>
      </c>
      <c r="D82" s="132" t="s">
        <v>116</v>
      </c>
      <c r="E82" s="133"/>
      <c r="F82" s="201"/>
      <c r="G82" s="127"/>
      <c r="H82" s="138"/>
      <c r="I82" s="105"/>
      <c r="J82" s="105"/>
      <c r="K82" s="201"/>
      <c r="L82" s="105"/>
      <c r="M82" s="143"/>
      <c r="N82" s="135"/>
      <c r="O82" s="139"/>
      <c r="P82" s="105"/>
      <c r="Q82" s="105"/>
      <c r="R82" s="201"/>
      <c r="S82" s="105"/>
      <c r="T82" s="201"/>
      <c r="U82" s="105"/>
      <c r="V82" s="145"/>
      <c r="W82" s="136"/>
      <c r="X82" s="201"/>
      <c r="Y82" s="145"/>
      <c r="Z82" s="139"/>
      <c r="AA82" s="201"/>
      <c r="AB82" s="139"/>
      <c r="AC82" s="139"/>
      <c r="AD82" s="103"/>
      <c r="AE82" s="139"/>
      <c r="AF82" s="201"/>
      <c r="AG82" s="145"/>
      <c r="AH82" s="139"/>
      <c r="AI82" s="139"/>
      <c r="AJ82" s="139"/>
      <c r="AK82" s="139"/>
      <c r="AL82" s="201"/>
      <c r="AM82" s="139"/>
      <c r="AN82" s="139"/>
      <c r="AO82" s="139"/>
      <c r="AP82" s="201"/>
      <c r="AQ82" s="144">
        <f t="shared" si="5"/>
        <v>0</v>
      </c>
    </row>
    <row r="83" spans="1:43" ht="25.5" hidden="1" x14ac:dyDescent="0.2">
      <c r="A83" s="274"/>
      <c r="B83" s="275"/>
      <c r="C83" s="137" t="s">
        <v>185</v>
      </c>
      <c r="D83" s="132" t="s">
        <v>116</v>
      </c>
      <c r="E83" s="133"/>
      <c r="F83" s="201"/>
      <c r="G83" s="127"/>
      <c r="H83" s="138"/>
      <c r="I83" s="105"/>
      <c r="J83" s="105"/>
      <c r="K83" s="201"/>
      <c r="L83" s="105"/>
      <c r="M83" s="143"/>
      <c r="N83" s="135"/>
      <c r="O83" s="139"/>
      <c r="P83" s="105"/>
      <c r="Q83" s="105"/>
      <c r="R83" s="201"/>
      <c r="S83" s="105"/>
      <c r="T83" s="201"/>
      <c r="U83" s="105"/>
      <c r="V83" s="145"/>
      <c r="W83" s="136"/>
      <c r="X83" s="201"/>
      <c r="Y83" s="145"/>
      <c r="Z83" s="139"/>
      <c r="AA83" s="201"/>
      <c r="AB83" s="139"/>
      <c r="AC83" s="139"/>
      <c r="AD83" s="103"/>
      <c r="AE83" s="139"/>
      <c r="AF83" s="201"/>
      <c r="AG83" s="145"/>
      <c r="AH83" s="139"/>
      <c r="AI83" s="139"/>
      <c r="AJ83" s="139"/>
      <c r="AK83" s="139"/>
      <c r="AL83" s="201"/>
      <c r="AM83" s="139"/>
      <c r="AN83" s="139"/>
      <c r="AO83" s="139"/>
      <c r="AP83" s="201"/>
      <c r="AQ83" s="144">
        <f t="shared" si="5"/>
        <v>0</v>
      </c>
    </row>
    <row r="84" spans="1:43" hidden="1" x14ac:dyDescent="0.2">
      <c r="A84" s="274"/>
      <c r="B84" s="275"/>
      <c r="C84" s="137" t="s">
        <v>186</v>
      </c>
      <c r="D84" s="132" t="s">
        <v>116</v>
      </c>
      <c r="E84" s="133"/>
      <c r="F84" s="201"/>
      <c r="G84" s="127"/>
      <c r="H84" s="138"/>
      <c r="I84" s="105"/>
      <c r="J84" s="105"/>
      <c r="K84" s="201"/>
      <c r="L84" s="105"/>
      <c r="M84" s="143"/>
      <c r="N84" s="135"/>
      <c r="O84" s="139"/>
      <c r="P84" s="105"/>
      <c r="Q84" s="105"/>
      <c r="R84" s="201"/>
      <c r="S84" s="105"/>
      <c r="T84" s="201"/>
      <c r="U84" s="105"/>
      <c r="V84" s="145"/>
      <c r="W84" s="136"/>
      <c r="X84" s="201"/>
      <c r="Y84" s="145"/>
      <c r="Z84" s="139"/>
      <c r="AA84" s="201"/>
      <c r="AB84" s="139"/>
      <c r="AC84" s="139"/>
      <c r="AD84" s="103"/>
      <c r="AE84" s="139"/>
      <c r="AF84" s="201"/>
      <c r="AG84" s="145"/>
      <c r="AH84" s="139"/>
      <c r="AI84" s="139"/>
      <c r="AJ84" s="139"/>
      <c r="AK84" s="139"/>
      <c r="AL84" s="201"/>
      <c r="AM84" s="139"/>
      <c r="AN84" s="139"/>
      <c r="AO84" s="139"/>
      <c r="AP84" s="201"/>
      <c r="AQ84" s="144">
        <f t="shared" si="5"/>
        <v>0</v>
      </c>
    </row>
    <row r="85" spans="1:43" hidden="1" x14ac:dyDescent="0.2">
      <c r="A85" s="274"/>
      <c r="B85" s="275"/>
      <c r="C85" s="137" t="s">
        <v>187</v>
      </c>
      <c r="D85" s="132" t="s">
        <v>9</v>
      </c>
      <c r="E85" s="133"/>
      <c r="F85" s="201"/>
      <c r="G85" s="127"/>
      <c r="H85" s="138"/>
      <c r="I85" s="105"/>
      <c r="J85" s="105"/>
      <c r="K85" s="201"/>
      <c r="L85" s="105"/>
      <c r="M85" s="143"/>
      <c r="N85" s="135"/>
      <c r="O85" s="139"/>
      <c r="P85" s="105"/>
      <c r="Q85" s="105"/>
      <c r="R85" s="201"/>
      <c r="S85" s="105"/>
      <c r="T85" s="201"/>
      <c r="U85" s="105"/>
      <c r="V85" s="145"/>
      <c r="W85" s="136"/>
      <c r="X85" s="201"/>
      <c r="Y85" s="145"/>
      <c r="Z85" s="139"/>
      <c r="AA85" s="201"/>
      <c r="AB85" s="139"/>
      <c r="AC85" s="139"/>
      <c r="AD85" s="103"/>
      <c r="AE85" s="139"/>
      <c r="AF85" s="201"/>
      <c r="AG85" s="145"/>
      <c r="AH85" s="139"/>
      <c r="AI85" s="139"/>
      <c r="AJ85" s="139"/>
      <c r="AK85" s="139"/>
      <c r="AL85" s="201"/>
      <c r="AM85" s="139"/>
      <c r="AN85" s="139"/>
      <c r="AO85" s="139"/>
      <c r="AP85" s="201"/>
      <c r="AQ85" s="144">
        <f t="shared" si="5"/>
        <v>0</v>
      </c>
    </row>
    <row r="86" spans="1:43" hidden="1" x14ac:dyDescent="0.2">
      <c r="A86" s="274"/>
      <c r="B86" s="275"/>
      <c r="C86" s="137" t="s">
        <v>188</v>
      </c>
      <c r="D86" s="132" t="s">
        <v>9</v>
      </c>
      <c r="E86" s="133"/>
      <c r="F86" s="201"/>
      <c r="G86" s="127"/>
      <c r="H86" s="138"/>
      <c r="I86" s="105"/>
      <c r="J86" s="105"/>
      <c r="K86" s="201"/>
      <c r="L86" s="105"/>
      <c r="M86" s="143"/>
      <c r="N86" s="135"/>
      <c r="O86" s="139"/>
      <c r="P86" s="105"/>
      <c r="Q86" s="105"/>
      <c r="R86" s="201"/>
      <c r="S86" s="105"/>
      <c r="T86" s="201"/>
      <c r="U86" s="105"/>
      <c r="V86" s="145"/>
      <c r="W86" s="136"/>
      <c r="X86" s="201"/>
      <c r="Y86" s="145"/>
      <c r="Z86" s="139"/>
      <c r="AA86" s="201"/>
      <c r="AB86" s="139"/>
      <c r="AC86" s="139"/>
      <c r="AD86" s="103"/>
      <c r="AE86" s="139"/>
      <c r="AF86" s="201"/>
      <c r="AG86" s="145"/>
      <c r="AH86" s="139"/>
      <c r="AI86" s="139"/>
      <c r="AJ86" s="139"/>
      <c r="AK86" s="139"/>
      <c r="AL86" s="201"/>
      <c r="AM86" s="139"/>
      <c r="AN86" s="139"/>
      <c r="AO86" s="139"/>
      <c r="AP86" s="201"/>
      <c r="AQ86" s="144">
        <f t="shared" si="5"/>
        <v>0</v>
      </c>
    </row>
    <row r="87" spans="1:43" hidden="1" x14ac:dyDescent="0.2">
      <c r="A87" s="274"/>
      <c r="B87" s="275"/>
      <c r="C87" s="137" t="s">
        <v>189</v>
      </c>
      <c r="D87" s="132" t="s">
        <v>116</v>
      </c>
      <c r="E87" s="133"/>
      <c r="F87" s="201"/>
      <c r="G87" s="127"/>
      <c r="H87" s="138"/>
      <c r="I87" s="105"/>
      <c r="J87" s="105"/>
      <c r="K87" s="201"/>
      <c r="L87" s="105"/>
      <c r="M87" s="143"/>
      <c r="N87" s="135"/>
      <c r="O87" s="139"/>
      <c r="P87" s="105"/>
      <c r="Q87" s="105"/>
      <c r="R87" s="201"/>
      <c r="S87" s="105"/>
      <c r="T87" s="201"/>
      <c r="U87" s="105"/>
      <c r="V87" s="145"/>
      <c r="W87" s="136"/>
      <c r="X87" s="201"/>
      <c r="Y87" s="145"/>
      <c r="Z87" s="139"/>
      <c r="AA87" s="201"/>
      <c r="AB87" s="139"/>
      <c r="AC87" s="139"/>
      <c r="AD87" s="103"/>
      <c r="AE87" s="139"/>
      <c r="AF87" s="201"/>
      <c r="AG87" s="145"/>
      <c r="AH87" s="139"/>
      <c r="AI87" s="139"/>
      <c r="AJ87" s="139"/>
      <c r="AK87" s="139"/>
      <c r="AL87" s="201"/>
      <c r="AM87" s="139"/>
      <c r="AN87" s="139"/>
      <c r="AO87" s="139"/>
      <c r="AP87" s="201"/>
      <c r="AQ87" s="144">
        <f t="shared" si="5"/>
        <v>0</v>
      </c>
    </row>
    <row r="88" spans="1:43" ht="25.5" hidden="1" x14ac:dyDescent="0.2">
      <c r="A88" s="274"/>
      <c r="B88" s="275"/>
      <c r="C88" s="137" t="s">
        <v>190</v>
      </c>
      <c r="D88" s="132" t="s">
        <v>9</v>
      </c>
      <c r="E88" s="133"/>
      <c r="F88" s="201"/>
      <c r="G88" s="127"/>
      <c r="H88" s="138"/>
      <c r="I88" s="105"/>
      <c r="J88" s="105"/>
      <c r="K88" s="201"/>
      <c r="L88" s="105"/>
      <c r="M88" s="143"/>
      <c r="N88" s="135"/>
      <c r="O88" s="139"/>
      <c r="P88" s="105"/>
      <c r="Q88" s="105"/>
      <c r="R88" s="201"/>
      <c r="S88" s="105"/>
      <c r="T88" s="201"/>
      <c r="U88" s="105"/>
      <c r="V88" s="145"/>
      <c r="W88" s="136"/>
      <c r="X88" s="201"/>
      <c r="Y88" s="145"/>
      <c r="Z88" s="139"/>
      <c r="AA88" s="201"/>
      <c r="AB88" s="139"/>
      <c r="AC88" s="139"/>
      <c r="AD88" s="103"/>
      <c r="AE88" s="139"/>
      <c r="AF88" s="201"/>
      <c r="AG88" s="145"/>
      <c r="AH88" s="139"/>
      <c r="AI88" s="139"/>
      <c r="AJ88" s="139"/>
      <c r="AK88" s="139"/>
      <c r="AL88" s="201"/>
      <c r="AM88" s="139"/>
      <c r="AN88" s="139"/>
      <c r="AO88" s="139"/>
      <c r="AP88" s="201"/>
      <c r="AQ88" s="144">
        <f t="shared" si="5"/>
        <v>0</v>
      </c>
    </row>
    <row r="89" spans="1:43" hidden="1" x14ac:dyDescent="0.2">
      <c r="A89" s="274"/>
      <c r="B89" s="275"/>
      <c r="C89" s="137" t="s">
        <v>191</v>
      </c>
      <c r="D89" s="132" t="s">
        <v>9</v>
      </c>
      <c r="E89" s="133"/>
      <c r="F89" s="201"/>
      <c r="G89" s="127"/>
      <c r="H89" s="138"/>
      <c r="I89" s="105"/>
      <c r="J89" s="105"/>
      <c r="K89" s="201"/>
      <c r="L89" s="105"/>
      <c r="M89" s="143"/>
      <c r="N89" s="135"/>
      <c r="O89" s="139"/>
      <c r="P89" s="105"/>
      <c r="Q89" s="105"/>
      <c r="R89" s="201"/>
      <c r="S89" s="105"/>
      <c r="T89" s="201"/>
      <c r="U89" s="105"/>
      <c r="V89" s="145"/>
      <c r="W89" s="136"/>
      <c r="X89" s="201"/>
      <c r="Y89" s="145"/>
      <c r="Z89" s="139"/>
      <c r="AA89" s="201"/>
      <c r="AB89" s="139"/>
      <c r="AC89" s="139"/>
      <c r="AD89" s="103"/>
      <c r="AE89" s="139"/>
      <c r="AF89" s="201"/>
      <c r="AG89" s="145"/>
      <c r="AH89" s="139"/>
      <c r="AI89" s="139"/>
      <c r="AJ89" s="139"/>
      <c r="AK89" s="139"/>
      <c r="AL89" s="201"/>
      <c r="AM89" s="139"/>
      <c r="AN89" s="139"/>
      <c r="AO89" s="139"/>
      <c r="AP89" s="201"/>
      <c r="AQ89" s="144">
        <f t="shared" si="5"/>
        <v>0</v>
      </c>
    </row>
    <row r="90" spans="1:43" ht="25.5" hidden="1" x14ac:dyDescent="0.2">
      <c r="A90" s="274"/>
      <c r="B90" s="275"/>
      <c r="C90" s="137" t="s">
        <v>192</v>
      </c>
      <c r="D90" s="132" t="s">
        <v>9</v>
      </c>
      <c r="E90" s="133"/>
      <c r="F90" s="201"/>
      <c r="G90" s="127"/>
      <c r="H90" s="138"/>
      <c r="I90" s="105"/>
      <c r="J90" s="105"/>
      <c r="K90" s="201"/>
      <c r="L90" s="105"/>
      <c r="M90" s="143"/>
      <c r="N90" s="135"/>
      <c r="O90" s="139"/>
      <c r="P90" s="105"/>
      <c r="Q90" s="105"/>
      <c r="R90" s="201"/>
      <c r="S90" s="105"/>
      <c r="T90" s="201"/>
      <c r="U90" s="105"/>
      <c r="V90" s="145"/>
      <c r="W90" s="136"/>
      <c r="X90" s="201"/>
      <c r="Y90" s="145"/>
      <c r="Z90" s="139"/>
      <c r="AA90" s="201"/>
      <c r="AB90" s="139"/>
      <c r="AC90" s="139"/>
      <c r="AD90" s="103"/>
      <c r="AE90" s="139"/>
      <c r="AF90" s="201"/>
      <c r="AG90" s="145"/>
      <c r="AH90" s="139"/>
      <c r="AI90" s="139"/>
      <c r="AJ90" s="139"/>
      <c r="AK90" s="139"/>
      <c r="AL90" s="201"/>
      <c r="AM90" s="139"/>
      <c r="AN90" s="139"/>
      <c r="AO90" s="139"/>
      <c r="AP90" s="201"/>
      <c r="AQ90" s="144">
        <f t="shared" si="5"/>
        <v>0</v>
      </c>
    </row>
    <row r="91" spans="1:43" hidden="1" x14ac:dyDescent="0.2">
      <c r="A91" s="274"/>
      <c r="B91" s="275"/>
      <c r="C91" s="137" t="s">
        <v>193</v>
      </c>
      <c r="D91" s="132" t="s">
        <v>9</v>
      </c>
      <c r="E91" s="133"/>
      <c r="F91" s="201"/>
      <c r="G91" s="127"/>
      <c r="H91" s="138"/>
      <c r="I91" s="105"/>
      <c r="J91" s="105"/>
      <c r="K91" s="201"/>
      <c r="L91" s="105"/>
      <c r="M91" s="143"/>
      <c r="N91" s="135"/>
      <c r="O91" s="139"/>
      <c r="P91" s="105"/>
      <c r="Q91" s="105"/>
      <c r="R91" s="201"/>
      <c r="S91" s="105"/>
      <c r="T91" s="201"/>
      <c r="U91" s="105"/>
      <c r="V91" s="145"/>
      <c r="W91" s="136"/>
      <c r="X91" s="201"/>
      <c r="Y91" s="145"/>
      <c r="Z91" s="139"/>
      <c r="AA91" s="201"/>
      <c r="AB91" s="139"/>
      <c r="AC91" s="139"/>
      <c r="AD91" s="103"/>
      <c r="AE91" s="139"/>
      <c r="AF91" s="201"/>
      <c r="AG91" s="145"/>
      <c r="AH91" s="139"/>
      <c r="AI91" s="139"/>
      <c r="AJ91" s="139"/>
      <c r="AK91" s="139"/>
      <c r="AL91" s="201"/>
      <c r="AM91" s="139"/>
      <c r="AN91" s="139"/>
      <c r="AO91" s="139"/>
      <c r="AP91" s="201"/>
      <c r="AQ91" s="144">
        <f t="shared" si="5"/>
        <v>0</v>
      </c>
    </row>
    <row r="92" spans="1:43" hidden="1" x14ac:dyDescent="0.2">
      <c r="A92" s="274"/>
      <c r="B92" s="275"/>
      <c r="C92" s="137" t="s">
        <v>194</v>
      </c>
      <c r="D92" s="132" t="s">
        <v>195</v>
      </c>
      <c r="E92" s="133"/>
      <c r="F92" s="201"/>
      <c r="G92" s="127"/>
      <c r="H92" s="138"/>
      <c r="I92" s="105"/>
      <c r="J92" s="105"/>
      <c r="K92" s="201"/>
      <c r="L92" s="105"/>
      <c r="M92" s="143"/>
      <c r="N92" s="135"/>
      <c r="O92" s="139"/>
      <c r="P92" s="105"/>
      <c r="Q92" s="105"/>
      <c r="R92" s="201"/>
      <c r="S92" s="105"/>
      <c r="T92" s="201"/>
      <c r="U92" s="105"/>
      <c r="V92" s="145"/>
      <c r="W92" s="136"/>
      <c r="X92" s="201"/>
      <c r="Y92" s="145"/>
      <c r="Z92" s="139"/>
      <c r="AA92" s="201"/>
      <c r="AB92" s="139"/>
      <c r="AC92" s="139"/>
      <c r="AD92" s="103"/>
      <c r="AE92" s="139"/>
      <c r="AF92" s="201"/>
      <c r="AG92" s="145"/>
      <c r="AH92" s="139"/>
      <c r="AI92" s="139"/>
      <c r="AJ92" s="139"/>
      <c r="AK92" s="139"/>
      <c r="AL92" s="201"/>
      <c r="AM92" s="139"/>
      <c r="AN92" s="139"/>
      <c r="AO92" s="139"/>
      <c r="AP92" s="201"/>
      <c r="AQ92" s="144">
        <f t="shared" si="5"/>
        <v>0</v>
      </c>
    </row>
    <row r="93" spans="1:43" hidden="1" x14ac:dyDescent="0.2">
      <c r="A93" s="274"/>
      <c r="B93" s="275"/>
      <c r="C93" s="137" t="s">
        <v>196</v>
      </c>
      <c r="D93" s="132" t="s">
        <v>7</v>
      </c>
      <c r="E93" s="133"/>
      <c r="F93" s="201"/>
      <c r="G93" s="127"/>
      <c r="H93" s="138"/>
      <c r="I93" s="105"/>
      <c r="J93" s="105"/>
      <c r="K93" s="201"/>
      <c r="L93" s="105"/>
      <c r="M93" s="143"/>
      <c r="N93" s="135"/>
      <c r="O93" s="139"/>
      <c r="P93" s="105"/>
      <c r="Q93" s="105"/>
      <c r="R93" s="201"/>
      <c r="S93" s="105"/>
      <c r="T93" s="201"/>
      <c r="U93" s="105"/>
      <c r="V93" s="145"/>
      <c r="W93" s="136"/>
      <c r="X93" s="201"/>
      <c r="Y93" s="145"/>
      <c r="Z93" s="139"/>
      <c r="AA93" s="201"/>
      <c r="AB93" s="139"/>
      <c r="AC93" s="139"/>
      <c r="AD93" s="103"/>
      <c r="AE93" s="139"/>
      <c r="AF93" s="201"/>
      <c r="AG93" s="145"/>
      <c r="AH93" s="139"/>
      <c r="AI93" s="139"/>
      <c r="AJ93" s="139"/>
      <c r="AK93" s="139"/>
      <c r="AL93" s="201"/>
      <c r="AM93" s="139"/>
      <c r="AN93" s="139"/>
      <c r="AO93" s="139"/>
      <c r="AP93" s="201"/>
      <c r="AQ93" s="144">
        <f t="shared" si="5"/>
        <v>0</v>
      </c>
    </row>
    <row r="94" spans="1:43" hidden="1" x14ac:dyDescent="0.2">
      <c r="A94" s="274"/>
      <c r="B94" s="275"/>
      <c r="C94" s="137" t="s">
        <v>197</v>
      </c>
      <c r="D94" s="132" t="s">
        <v>9</v>
      </c>
      <c r="E94" s="133"/>
      <c r="F94" s="201"/>
      <c r="G94" s="127"/>
      <c r="H94" s="138"/>
      <c r="I94" s="105"/>
      <c r="J94" s="105"/>
      <c r="K94" s="201"/>
      <c r="L94" s="105"/>
      <c r="M94" s="143"/>
      <c r="N94" s="135"/>
      <c r="O94" s="139"/>
      <c r="P94" s="105"/>
      <c r="Q94" s="105"/>
      <c r="R94" s="201"/>
      <c r="S94" s="105"/>
      <c r="T94" s="201"/>
      <c r="U94" s="105"/>
      <c r="V94" s="145"/>
      <c r="W94" s="136"/>
      <c r="X94" s="201"/>
      <c r="Y94" s="145"/>
      <c r="Z94" s="139"/>
      <c r="AA94" s="201"/>
      <c r="AB94" s="139"/>
      <c r="AC94" s="139"/>
      <c r="AD94" s="103"/>
      <c r="AE94" s="139"/>
      <c r="AF94" s="201"/>
      <c r="AG94" s="145"/>
      <c r="AH94" s="139"/>
      <c r="AI94" s="139"/>
      <c r="AJ94" s="139"/>
      <c r="AK94" s="139"/>
      <c r="AL94" s="201"/>
      <c r="AM94" s="139"/>
      <c r="AN94" s="139"/>
      <c r="AO94" s="139"/>
      <c r="AP94" s="201"/>
      <c r="AQ94" s="144">
        <f t="shared" si="5"/>
        <v>0</v>
      </c>
    </row>
    <row r="95" spans="1:43" hidden="1" x14ac:dyDescent="0.2">
      <c r="A95" s="274"/>
      <c r="B95" s="275"/>
      <c r="C95" s="137" t="s">
        <v>198</v>
      </c>
      <c r="D95" s="132" t="s">
        <v>26</v>
      </c>
      <c r="E95" s="133"/>
      <c r="F95" s="201"/>
      <c r="G95" s="127"/>
      <c r="H95" s="138"/>
      <c r="I95" s="105"/>
      <c r="J95" s="105"/>
      <c r="K95" s="201"/>
      <c r="L95" s="105"/>
      <c r="M95" s="143"/>
      <c r="N95" s="135"/>
      <c r="O95" s="139"/>
      <c r="P95" s="105"/>
      <c r="Q95" s="105"/>
      <c r="R95" s="201"/>
      <c r="S95" s="105"/>
      <c r="T95" s="201"/>
      <c r="U95" s="105"/>
      <c r="V95" s="145"/>
      <c r="W95" s="136"/>
      <c r="X95" s="201"/>
      <c r="Y95" s="145"/>
      <c r="Z95" s="139"/>
      <c r="AA95" s="201"/>
      <c r="AB95" s="139"/>
      <c r="AC95" s="139"/>
      <c r="AD95" s="103"/>
      <c r="AE95" s="139"/>
      <c r="AF95" s="201"/>
      <c r="AG95" s="145"/>
      <c r="AH95" s="139"/>
      <c r="AI95" s="139"/>
      <c r="AJ95" s="139"/>
      <c r="AK95" s="139"/>
      <c r="AL95" s="201"/>
      <c r="AM95" s="139"/>
      <c r="AN95" s="139"/>
      <c r="AO95" s="139"/>
      <c r="AP95" s="201"/>
      <c r="AQ95" s="144">
        <f t="shared" si="5"/>
        <v>0</v>
      </c>
    </row>
    <row r="96" spans="1:43" ht="25.5" hidden="1" x14ac:dyDescent="0.2">
      <c r="A96" s="274"/>
      <c r="B96" s="275"/>
      <c r="C96" s="137" t="s">
        <v>199</v>
      </c>
      <c r="D96" s="132" t="s">
        <v>26</v>
      </c>
      <c r="E96" s="133"/>
      <c r="F96" s="201"/>
      <c r="G96" s="127"/>
      <c r="H96" s="138"/>
      <c r="I96" s="105"/>
      <c r="J96" s="105"/>
      <c r="K96" s="201"/>
      <c r="L96" s="105"/>
      <c r="M96" s="143"/>
      <c r="N96" s="135"/>
      <c r="O96" s="139"/>
      <c r="P96" s="105"/>
      <c r="Q96" s="105"/>
      <c r="R96" s="201"/>
      <c r="S96" s="105"/>
      <c r="T96" s="201"/>
      <c r="U96" s="105"/>
      <c r="V96" s="145"/>
      <c r="W96" s="136"/>
      <c r="X96" s="201"/>
      <c r="Y96" s="145"/>
      <c r="Z96" s="139"/>
      <c r="AA96" s="201"/>
      <c r="AB96" s="139"/>
      <c r="AC96" s="139"/>
      <c r="AD96" s="103"/>
      <c r="AE96" s="139"/>
      <c r="AF96" s="201"/>
      <c r="AG96" s="145"/>
      <c r="AH96" s="139"/>
      <c r="AI96" s="139"/>
      <c r="AJ96" s="139"/>
      <c r="AK96" s="139"/>
      <c r="AL96" s="201"/>
      <c r="AM96" s="139"/>
      <c r="AN96" s="139"/>
      <c r="AO96" s="139"/>
      <c r="AP96" s="201"/>
      <c r="AQ96" s="144">
        <f t="shared" si="5"/>
        <v>0</v>
      </c>
    </row>
    <row r="97" spans="1:43" hidden="1" x14ac:dyDescent="0.2">
      <c r="A97" s="274"/>
      <c r="B97" s="275"/>
      <c r="C97" s="137" t="s">
        <v>200</v>
      </c>
      <c r="D97" s="132" t="s">
        <v>21</v>
      </c>
      <c r="E97" s="133"/>
      <c r="F97" s="201"/>
      <c r="G97" s="127"/>
      <c r="H97" s="138"/>
      <c r="I97" s="105"/>
      <c r="J97" s="105"/>
      <c r="K97" s="201"/>
      <c r="L97" s="105"/>
      <c r="M97" s="143"/>
      <c r="N97" s="135"/>
      <c r="O97" s="139"/>
      <c r="P97" s="105"/>
      <c r="Q97" s="105"/>
      <c r="R97" s="201"/>
      <c r="S97" s="105"/>
      <c r="T97" s="201"/>
      <c r="U97" s="105"/>
      <c r="V97" s="145"/>
      <c r="W97" s="136"/>
      <c r="X97" s="201"/>
      <c r="Y97" s="145"/>
      <c r="Z97" s="139"/>
      <c r="AA97" s="201"/>
      <c r="AB97" s="139"/>
      <c r="AC97" s="139"/>
      <c r="AD97" s="103"/>
      <c r="AE97" s="139"/>
      <c r="AF97" s="201"/>
      <c r="AG97" s="145"/>
      <c r="AH97" s="139"/>
      <c r="AI97" s="139"/>
      <c r="AJ97" s="139"/>
      <c r="AK97" s="139"/>
      <c r="AL97" s="201"/>
      <c r="AM97" s="139"/>
      <c r="AN97" s="139"/>
      <c r="AO97" s="139"/>
      <c r="AP97" s="201"/>
      <c r="AQ97" s="144">
        <f t="shared" si="5"/>
        <v>0</v>
      </c>
    </row>
    <row r="98" spans="1:43" ht="38.25" hidden="1" x14ac:dyDescent="0.2">
      <c r="A98" s="274"/>
      <c r="B98" s="275"/>
      <c r="C98" s="137" t="s">
        <v>201</v>
      </c>
      <c r="D98" s="132" t="s">
        <v>21</v>
      </c>
      <c r="E98" s="133"/>
      <c r="F98" s="201"/>
      <c r="G98" s="127"/>
      <c r="H98" s="138"/>
      <c r="I98" s="105"/>
      <c r="J98" s="105"/>
      <c r="K98" s="201"/>
      <c r="L98" s="105"/>
      <c r="M98" s="143"/>
      <c r="N98" s="135"/>
      <c r="O98" s="139"/>
      <c r="P98" s="105"/>
      <c r="Q98" s="105"/>
      <c r="R98" s="201"/>
      <c r="S98" s="105"/>
      <c r="T98" s="201"/>
      <c r="U98" s="105"/>
      <c r="V98" s="145"/>
      <c r="W98" s="136"/>
      <c r="X98" s="201"/>
      <c r="Y98" s="145"/>
      <c r="Z98" s="139"/>
      <c r="AA98" s="201"/>
      <c r="AB98" s="139"/>
      <c r="AC98" s="139"/>
      <c r="AD98" s="103"/>
      <c r="AE98" s="139"/>
      <c r="AF98" s="201"/>
      <c r="AG98" s="145"/>
      <c r="AH98" s="139"/>
      <c r="AI98" s="139"/>
      <c r="AJ98" s="139"/>
      <c r="AK98" s="139"/>
      <c r="AL98" s="201"/>
      <c r="AM98" s="139"/>
      <c r="AN98" s="139"/>
      <c r="AO98" s="139"/>
      <c r="AP98" s="201"/>
      <c r="AQ98" s="144">
        <f t="shared" si="5"/>
        <v>0</v>
      </c>
    </row>
    <row r="99" spans="1:43" hidden="1" x14ac:dyDescent="0.2">
      <c r="A99" s="274"/>
      <c r="B99" s="275"/>
      <c r="C99" s="137" t="s">
        <v>202</v>
      </c>
      <c r="D99" s="132" t="s">
        <v>21</v>
      </c>
      <c r="E99" s="133"/>
      <c r="F99" s="201"/>
      <c r="G99" s="127"/>
      <c r="H99" s="138"/>
      <c r="I99" s="105"/>
      <c r="J99" s="105"/>
      <c r="K99" s="201"/>
      <c r="L99" s="105"/>
      <c r="M99" s="143"/>
      <c r="N99" s="135"/>
      <c r="O99" s="139"/>
      <c r="P99" s="105"/>
      <c r="Q99" s="105"/>
      <c r="R99" s="201"/>
      <c r="S99" s="105"/>
      <c r="T99" s="201"/>
      <c r="U99" s="105"/>
      <c r="V99" s="145"/>
      <c r="W99" s="136"/>
      <c r="X99" s="201"/>
      <c r="Y99" s="145"/>
      <c r="Z99" s="139"/>
      <c r="AA99" s="201"/>
      <c r="AB99" s="139"/>
      <c r="AC99" s="139"/>
      <c r="AD99" s="103"/>
      <c r="AE99" s="139"/>
      <c r="AF99" s="201"/>
      <c r="AG99" s="145"/>
      <c r="AH99" s="139"/>
      <c r="AI99" s="139"/>
      <c r="AJ99" s="139"/>
      <c r="AK99" s="139"/>
      <c r="AL99" s="201"/>
      <c r="AM99" s="139"/>
      <c r="AN99" s="139"/>
      <c r="AO99" s="139"/>
      <c r="AP99" s="201"/>
      <c r="AQ99" s="144">
        <f t="shared" si="5"/>
        <v>0</v>
      </c>
    </row>
    <row r="100" spans="1:43" ht="38.25" hidden="1" x14ac:dyDescent="0.2">
      <c r="A100" s="274"/>
      <c r="B100" s="275"/>
      <c r="C100" s="137" t="s">
        <v>203</v>
      </c>
      <c r="D100" s="132" t="s">
        <v>21</v>
      </c>
      <c r="E100" s="133"/>
      <c r="F100" s="201"/>
      <c r="G100" s="127"/>
      <c r="H100" s="138"/>
      <c r="I100" s="105"/>
      <c r="J100" s="105"/>
      <c r="K100" s="201"/>
      <c r="L100" s="105"/>
      <c r="M100" s="143"/>
      <c r="N100" s="135"/>
      <c r="O100" s="139"/>
      <c r="P100" s="105"/>
      <c r="Q100" s="105"/>
      <c r="R100" s="201"/>
      <c r="S100" s="105"/>
      <c r="T100" s="201"/>
      <c r="U100" s="105"/>
      <c r="V100" s="145"/>
      <c r="W100" s="136"/>
      <c r="X100" s="201"/>
      <c r="Y100" s="145"/>
      <c r="Z100" s="139"/>
      <c r="AA100" s="201"/>
      <c r="AB100" s="139"/>
      <c r="AC100" s="139"/>
      <c r="AD100" s="103"/>
      <c r="AE100" s="139"/>
      <c r="AF100" s="201"/>
      <c r="AG100" s="145"/>
      <c r="AH100" s="139"/>
      <c r="AI100" s="139"/>
      <c r="AJ100" s="139"/>
      <c r="AK100" s="139"/>
      <c r="AL100" s="201"/>
      <c r="AM100" s="139"/>
      <c r="AN100" s="139"/>
      <c r="AO100" s="139"/>
      <c r="AP100" s="201"/>
      <c r="AQ100" s="144">
        <f t="shared" si="5"/>
        <v>0</v>
      </c>
    </row>
    <row r="101" spans="1:43" hidden="1" x14ac:dyDescent="0.2">
      <c r="A101" s="274"/>
      <c r="B101" s="275"/>
      <c r="C101" s="137" t="s">
        <v>204</v>
      </c>
      <c r="D101" s="132" t="s">
        <v>21</v>
      </c>
      <c r="E101" s="133"/>
      <c r="F101" s="201"/>
      <c r="G101" s="127"/>
      <c r="H101" s="138"/>
      <c r="I101" s="105"/>
      <c r="J101" s="105"/>
      <c r="K101" s="201"/>
      <c r="L101" s="105"/>
      <c r="M101" s="143"/>
      <c r="N101" s="135"/>
      <c r="O101" s="139"/>
      <c r="P101" s="105"/>
      <c r="Q101" s="105"/>
      <c r="R101" s="201"/>
      <c r="S101" s="105"/>
      <c r="T101" s="201"/>
      <c r="U101" s="105"/>
      <c r="V101" s="145"/>
      <c r="W101" s="136"/>
      <c r="X101" s="201"/>
      <c r="Y101" s="145"/>
      <c r="Z101" s="139"/>
      <c r="AA101" s="201"/>
      <c r="AB101" s="139"/>
      <c r="AC101" s="139"/>
      <c r="AD101" s="103"/>
      <c r="AE101" s="139"/>
      <c r="AF101" s="201"/>
      <c r="AG101" s="145"/>
      <c r="AH101" s="139"/>
      <c r="AI101" s="139"/>
      <c r="AJ101" s="139"/>
      <c r="AK101" s="139"/>
      <c r="AL101" s="201"/>
      <c r="AM101" s="139"/>
      <c r="AN101" s="139"/>
      <c r="AO101" s="139"/>
      <c r="AP101" s="201"/>
      <c r="AQ101" s="144">
        <f t="shared" si="5"/>
        <v>0</v>
      </c>
    </row>
    <row r="102" spans="1:43" ht="38.25" hidden="1" x14ac:dyDescent="0.2">
      <c r="A102" s="274"/>
      <c r="B102" s="275"/>
      <c r="C102" s="137" t="s">
        <v>205</v>
      </c>
      <c r="D102" s="132" t="s">
        <v>21</v>
      </c>
      <c r="E102" s="133"/>
      <c r="F102" s="201"/>
      <c r="G102" s="127"/>
      <c r="H102" s="138"/>
      <c r="I102" s="105"/>
      <c r="J102" s="105"/>
      <c r="K102" s="201"/>
      <c r="L102" s="105"/>
      <c r="M102" s="143"/>
      <c r="N102" s="135"/>
      <c r="O102" s="139"/>
      <c r="P102" s="105"/>
      <c r="Q102" s="105"/>
      <c r="R102" s="201"/>
      <c r="S102" s="105"/>
      <c r="T102" s="201"/>
      <c r="U102" s="105"/>
      <c r="V102" s="145"/>
      <c r="W102" s="136"/>
      <c r="X102" s="201"/>
      <c r="Y102" s="145"/>
      <c r="Z102" s="139"/>
      <c r="AA102" s="201"/>
      <c r="AB102" s="139"/>
      <c r="AC102" s="139"/>
      <c r="AD102" s="103"/>
      <c r="AE102" s="139"/>
      <c r="AF102" s="201"/>
      <c r="AG102" s="145"/>
      <c r="AH102" s="139"/>
      <c r="AI102" s="139"/>
      <c r="AJ102" s="139"/>
      <c r="AK102" s="139"/>
      <c r="AL102" s="201"/>
      <c r="AM102" s="139"/>
      <c r="AN102" s="139"/>
      <c r="AO102" s="139"/>
      <c r="AP102" s="201"/>
      <c r="AQ102" s="144">
        <f t="shared" si="5"/>
        <v>0</v>
      </c>
    </row>
    <row r="103" spans="1:43" hidden="1" x14ac:dyDescent="0.2">
      <c r="A103" s="274"/>
      <c r="B103" s="275"/>
      <c r="C103" s="137" t="s">
        <v>206</v>
      </c>
      <c r="D103" s="132" t="s">
        <v>21</v>
      </c>
      <c r="E103" s="133"/>
      <c r="F103" s="201"/>
      <c r="G103" s="127"/>
      <c r="H103" s="138"/>
      <c r="I103" s="105"/>
      <c r="J103" s="105"/>
      <c r="K103" s="201"/>
      <c r="L103" s="105"/>
      <c r="M103" s="143"/>
      <c r="N103" s="135"/>
      <c r="O103" s="139"/>
      <c r="P103" s="105"/>
      <c r="Q103" s="105"/>
      <c r="R103" s="201"/>
      <c r="S103" s="105"/>
      <c r="T103" s="201"/>
      <c r="U103" s="105"/>
      <c r="V103" s="145"/>
      <c r="W103" s="136"/>
      <c r="X103" s="201"/>
      <c r="Y103" s="145"/>
      <c r="Z103" s="139"/>
      <c r="AA103" s="201"/>
      <c r="AB103" s="139"/>
      <c r="AC103" s="139"/>
      <c r="AD103" s="103"/>
      <c r="AE103" s="139"/>
      <c r="AF103" s="201"/>
      <c r="AG103" s="145"/>
      <c r="AH103" s="139"/>
      <c r="AI103" s="139"/>
      <c r="AJ103" s="139"/>
      <c r="AK103" s="139"/>
      <c r="AL103" s="201"/>
      <c r="AM103" s="139"/>
      <c r="AN103" s="139"/>
      <c r="AO103" s="139"/>
      <c r="AP103" s="201"/>
      <c r="AQ103" s="144">
        <f t="shared" si="5"/>
        <v>0</v>
      </c>
    </row>
    <row r="104" spans="1:43" ht="25.5" hidden="1" x14ac:dyDescent="0.2">
      <c r="A104" s="274"/>
      <c r="B104" s="275"/>
      <c r="C104" s="137" t="s">
        <v>207</v>
      </c>
      <c r="D104" s="132" t="s">
        <v>21</v>
      </c>
      <c r="E104" s="133"/>
      <c r="F104" s="201"/>
      <c r="G104" s="127"/>
      <c r="H104" s="138"/>
      <c r="I104" s="105"/>
      <c r="J104" s="105"/>
      <c r="K104" s="201"/>
      <c r="L104" s="105"/>
      <c r="M104" s="143"/>
      <c r="N104" s="135"/>
      <c r="O104" s="139"/>
      <c r="P104" s="105"/>
      <c r="Q104" s="105"/>
      <c r="R104" s="201"/>
      <c r="S104" s="105"/>
      <c r="T104" s="201"/>
      <c r="U104" s="105"/>
      <c r="V104" s="145"/>
      <c r="W104" s="136"/>
      <c r="X104" s="201"/>
      <c r="Y104" s="145"/>
      <c r="Z104" s="139"/>
      <c r="AA104" s="201"/>
      <c r="AB104" s="139"/>
      <c r="AC104" s="139"/>
      <c r="AD104" s="103"/>
      <c r="AE104" s="139"/>
      <c r="AF104" s="201"/>
      <c r="AG104" s="145"/>
      <c r="AH104" s="139"/>
      <c r="AI104" s="139"/>
      <c r="AJ104" s="139"/>
      <c r="AK104" s="139"/>
      <c r="AL104" s="201"/>
      <c r="AM104" s="139"/>
      <c r="AN104" s="139"/>
      <c r="AO104" s="139"/>
      <c r="AP104" s="201"/>
      <c r="AQ104" s="144">
        <f t="shared" si="5"/>
        <v>0</v>
      </c>
    </row>
    <row r="105" spans="1:43" hidden="1" x14ac:dyDescent="0.2">
      <c r="A105" s="274"/>
      <c r="B105" s="275"/>
      <c r="C105" s="137" t="s">
        <v>208</v>
      </c>
      <c r="D105" s="132" t="s">
        <v>21</v>
      </c>
      <c r="E105" s="133"/>
      <c r="F105" s="201"/>
      <c r="G105" s="127"/>
      <c r="H105" s="138"/>
      <c r="I105" s="105"/>
      <c r="J105" s="105"/>
      <c r="K105" s="201"/>
      <c r="L105" s="105"/>
      <c r="M105" s="143"/>
      <c r="N105" s="135"/>
      <c r="O105" s="139"/>
      <c r="P105" s="105"/>
      <c r="Q105" s="105"/>
      <c r="R105" s="201"/>
      <c r="S105" s="105"/>
      <c r="T105" s="201"/>
      <c r="U105" s="105"/>
      <c r="V105" s="145"/>
      <c r="W105" s="136"/>
      <c r="X105" s="201"/>
      <c r="Y105" s="145"/>
      <c r="Z105" s="139"/>
      <c r="AA105" s="201"/>
      <c r="AB105" s="139"/>
      <c r="AC105" s="139"/>
      <c r="AD105" s="103"/>
      <c r="AE105" s="139"/>
      <c r="AF105" s="201"/>
      <c r="AG105" s="145"/>
      <c r="AH105" s="139"/>
      <c r="AI105" s="139"/>
      <c r="AJ105" s="139"/>
      <c r="AK105" s="139"/>
      <c r="AL105" s="201"/>
      <c r="AM105" s="139"/>
      <c r="AN105" s="139"/>
      <c r="AO105" s="139"/>
      <c r="AP105" s="201"/>
      <c r="AQ105" s="144">
        <f t="shared" si="5"/>
        <v>0</v>
      </c>
    </row>
    <row r="106" spans="1:43" hidden="1" x14ac:dyDescent="0.2">
      <c r="A106" s="274"/>
      <c r="B106" s="275"/>
      <c r="C106" s="137" t="s">
        <v>209</v>
      </c>
      <c r="D106" s="132" t="s">
        <v>9</v>
      </c>
      <c r="E106" s="133"/>
      <c r="F106" s="201"/>
      <c r="G106" s="127"/>
      <c r="H106" s="138"/>
      <c r="I106" s="105"/>
      <c r="J106" s="105"/>
      <c r="K106" s="201"/>
      <c r="L106" s="105"/>
      <c r="M106" s="143"/>
      <c r="N106" s="135"/>
      <c r="O106" s="139"/>
      <c r="P106" s="105"/>
      <c r="Q106" s="105"/>
      <c r="R106" s="201"/>
      <c r="S106" s="105"/>
      <c r="T106" s="201"/>
      <c r="U106" s="105"/>
      <c r="V106" s="145"/>
      <c r="W106" s="136"/>
      <c r="X106" s="201"/>
      <c r="Y106" s="145"/>
      <c r="Z106" s="139"/>
      <c r="AA106" s="201"/>
      <c r="AB106" s="139"/>
      <c r="AC106" s="139"/>
      <c r="AD106" s="103"/>
      <c r="AE106" s="139"/>
      <c r="AF106" s="201"/>
      <c r="AG106" s="145"/>
      <c r="AH106" s="139"/>
      <c r="AI106" s="139"/>
      <c r="AJ106" s="139"/>
      <c r="AK106" s="139"/>
      <c r="AL106" s="201"/>
      <c r="AM106" s="139"/>
      <c r="AN106" s="139"/>
      <c r="AO106" s="139"/>
      <c r="AP106" s="201"/>
      <c r="AQ106" s="144">
        <f t="shared" si="5"/>
        <v>0</v>
      </c>
    </row>
    <row r="107" spans="1:43" hidden="1" x14ac:dyDescent="0.2">
      <c r="A107" s="274"/>
      <c r="B107" s="275"/>
      <c r="C107" s="137" t="s">
        <v>210</v>
      </c>
      <c r="D107" s="132" t="s">
        <v>7</v>
      </c>
      <c r="E107" s="133"/>
      <c r="F107" s="201"/>
      <c r="G107" s="127"/>
      <c r="H107" s="138"/>
      <c r="I107" s="105"/>
      <c r="J107" s="105"/>
      <c r="K107" s="201"/>
      <c r="L107" s="105"/>
      <c r="M107" s="143"/>
      <c r="N107" s="135"/>
      <c r="O107" s="139"/>
      <c r="P107" s="105"/>
      <c r="Q107" s="105"/>
      <c r="R107" s="201"/>
      <c r="S107" s="105"/>
      <c r="T107" s="201"/>
      <c r="U107" s="105"/>
      <c r="V107" s="145"/>
      <c r="W107" s="136"/>
      <c r="X107" s="201"/>
      <c r="Y107" s="145"/>
      <c r="Z107" s="139"/>
      <c r="AA107" s="201"/>
      <c r="AB107" s="139"/>
      <c r="AC107" s="139"/>
      <c r="AD107" s="103"/>
      <c r="AE107" s="139"/>
      <c r="AF107" s="201"/>
      <c r="AG107" s="145"/>
      <c r="AH107" s="139"/>
      <c r="AI107" s="139"/>
      <c r="AJ107" s="139"/>
      <c r="AK107" s="139"/>
      <c r="AL107" s="201"/>
      <c r="AM107" s="139"/>
      <c r="AN107" s="139"/>
      <c r="AO107" s="139"/>
      <c r="AP107" s="201"/>
      <c r="AQ107" s="144">
        <f t="shared" si="5"/>
        <v>0</v>
      </c>
    </row>
    <row r="108" spans="1:43" s="118" customFormat="1" ht="17.25" customHeight="1" x14ac:dyDescent="0.25">
      <c r="A108" s="306">
        <v>4</v>
      </c>
      <c r="B108" s="307"/>
      <c r="C108" s="192" t="s">
        <v>211</v>
      </c>
      <c r="D108" s="122"/>
      <c r="E108" s="193"/>
      <c r="F108" s="111"/>
      <c r="G108" s="194"/>
      <c r="H108" s="195"/>
      <c r="I108" s="117"/>
      <c r="J108" s="117"/>
      <c r="K108" s="111"/>
      <c r="L108" s="117"/>
      <c r="M108" s="196"/>
      <c r="N108" s="197"/>
      <c r="O108" s="198"/>
      <c r="P108" s="117"/>
      <c r="Q108" s="117"/>
      <c r="R108" s="111"/>
      <c r="S108" s="117"/>
      <c r="T108" s="111"/>
      <c r="U108" s="117"/>
      <c r="V108" s="199"/>
      <c r="W108" s="200"/>
      <c r="X108" s="111"/>
      <c r="Y108" s="199"/>
      <c r="Z108" s="198"/>
      <c r="AA108" s="111"/>
      <c r="AB108" s="198"/>
      <c r="AC108" s="198"/>
      <c r="AD108" s="195"/>
      <c r="AE108" s="198"/>
      <c r="AF108" s="111"/>
      <c r="AG108" s="199"/>
      <c r="AH108" s="198"/>
      <c r="AI108" s="198"/>
      <c r="AJ108" s="198"/>
      <c r="AK108" s="198"/>
      <c r="AL108" s="111"/>
      <c r="AM108" s="198"/>
      <c r="AN108" s="198"/>
      <c r="AO108" s="198"/>
      <c r="AP108" s="111"/>
      <c r="AQ108" s="144">
        <f t="shared" si="5"/>
        <v>0</v>
      </c>
    </row>
    <row r="109" spans="1:43" s="202" customFormat="1" ht="38.25" hidden="1" x14ac:dyDescent="0.2">
      <c r="A109" s="294"/>
      <c r="B109" s="295"/>
      <c r="C109" s="137" t="s">
        <v>212</v>
      </c>
      <c r="D109" s="132" t="s">
        <v>7</v>
      </c>
      <c r="E109" s="133"/>
      <c r="F109" s="201"/>
      <c r="G109" s="127"/>
      <c r="H109" s="138"/>
      <c r="I109" s="105"/>
      <c r="J109" s="105"/>
      <c r="K109" s="201"/>
      <c r="L109" s="105"/>
      <c r="M109" s="143"/>
      <c r="N109" s="135"/>
      <c r="O109" s="139"/>
      <c r="P109" s="105"/>
      <c r="Q109" s="105"/>
      <c r="R109" s="201"/>
      <c r="S109" s="105"/>
      <c r="T109" s="201"/>
      <c r="U109" s="105"/>
      <c r="V109" s="145"/>
      <c r="W109" s="136"/>
      <c r="X109" s="201"/>
      <c r="Y109" s="145"/>
      <c r="Z109" s="139"/>
      <c r="AA109" s="201"/>
      <c r="AB109" s="139"/>
      <c r="AC109" s="139"/>
      <c r="AD109" s="103"/>
      <c r="AE109" s="139"/>
      <c r="AF109" s="201"/>
      <c r="AG109" s="145"/>
      <c r="AH109" s="139"/>
      <c r="AI109" s="139"/>
      <c r="AJ109" s="139"/>
      <c r="AK109" s="139"/>
      <c r="AL109" s="201"/>
      <c r="AM109" s="139"/>
      <c r="AN109" s="139"/>
      <c r="AO109" s="139"/>
      <c r="AP109" s="201"/>
      <c r="AQ109" s="144">
        <f t="shared" si="5"/>
        <v>0</v>
      </c>
    </row>
    <row r="110" spans="1:43" s="202" customFormat="1" ht="25.5" hidden="1" x14ac:dyDescent="0.2">
      <c r="A110" s="294"/>
      <c r="B110" s="295"/>
      <c r="C110" s="137" t="s">
        <v>19</v>
      </c>
      <c r="D110" s="132" t="s">
        <v>7</v>
      </c>
      <c r="E110" s="133"/>
      <c r="F110" s="201"/>
      <c r="G110" s="127"/>
      <c r="H110" s="138"/>
      <c r="I110" s="105"/>
      <c r="J110" s="105"/>
      <c r="K110" s="201"/>
      <c r="L110" s="105"/>
      <c r="M110" s="143"/>
      <c r="N110" s="135"/>
      <c r="O110" s="139"/>
      <c r="P110" s="105"/>
      <c r="Q110" s="105"/>
      <c r="R110" s="201"/>
      <c r="S110" s="105"/>
      <c r="T110" s="201"/>
      <c r="U110" s="105"/>
      <c r="V110" s="145"/>
      <c r="W110" s="136"/>
      <c r="X110" s="201"/>
      <c r="Y110" s="145"/>
      <c r="Z110" s="139"/>
      <c r="AA110" s="201"/>
      <c r="AB110" s="139"/>
      <c r="AC110" s="139"/>
      <c r="AD110" s="103"/>
      <c r="AE110" s="139"/>
      <c r="AF110" s="201"/>
      <c r="AG110" s="145"/>
      <c r="AH110" s="139"/>
      <c r="AI110" s="139"/>
      <c r="AJ110" s="139"/>
      <c r="AK110" s="139"/>
      <c r="AL110" s="201"/>
      <c r="AM110" s="139"/>
      <c r="AN110" s="139"/>
      <c r="AO110" s="139"/>
      <c r="AP110" s="201"/>
      <c r="AQ110" s="144">
        <f t="shared" si="5"/>
        <v>0</v>
      </c>
    </row>
    <row r="111" spans="1:43" s="202" customFormat="1" ht="38.25" hidden="1" x14ac:dyDescent="0.2">
      <c r="A111" s="294"/>
      <c r="B111" s="295"/>
      <c r="C111" s="137" t="s">
        <v>213</v>
      </c>
      <c r="D111" s="132" t="s">
        <v>21</v>
      </c>
      <c r="E111" s="133"/>
      <c r="F111" s="201"/>
      <c r="G111" s="127"/>
      <c r="H111" s="138"/>
      <c r="I111" s="105"/>
      <c r="J111" s="105"/>
      <c r="K111" s="201"/>
      <c r="L111" s="105"/>
      <c r="M111" s="143"/>
      <c r="N111" s="135"/>
      <c r="O111" s="139"/>
      <c r="P111" s="105"/>
      <c r="Q111" s="105"/>
      <c r="R111" s="201"/>
      <c r="S111" s="105"/>
      <c r="T111" s="201"/>
      <c r="U111" s="105"/>
      <c r="V111" s="145"/>
      <c r="W111" s="136"/>
      <c r="X111" s="201"/>
      <c r="Y111" s="145"/>
      <c r="Z111" s="139"/>
      <c r="AA111" s="201"/>
      <c r="AB111" s="139"/>
      <c r="AC111" s="139"/>
      <c r="AD111" s="103"/>
      <c r="AE111" s="139"/>
      <c r="AF111" s="201"/>
      <c r="AG111" s="145"/>
      <c r="AH111" s="139"/>
      <c r="AI111" s="139"/>
      <c r="AJ111" s="139"/>
      <c r="AK111" s="139"/>
      <c r="AL111" s="201"/>
      <c r="AM111" s="139"/>
      <c r="AN111" s="139"/>
      <c r="AO111" s="139"/>
      <c r="AP111" s="201"/>
      <c r="AQ111" s="144">
        <f t="shared" si="5"/>
        <v>0</v>
      </c>
    </row>
    <row r="112" spans="1:43" s="202" customFormat="1" ht="25.5" hidden="1" x14ac:dyDescent="0.2">
      <c r="A112" s="274"/>
      <c r="B112" s="275"/>
      <c r="C112" s="137" t="s">
        <v>22</v>
      </c>
      <c r="D112" s="132" t="s">
        <v>21</v>
      </c>
      <c r="E112" s="133"/>
      <c r="F112" s="201"/>
      <c r="G112" s="127"/>
      <c r="H112" s="138"/>
      <c r="I112" s="105"/>
      <c r="J112" s="105"/>
      <c r="K112" s="201"/>
      <c r="L112" s="105"/>
      <c r="M112" s="143"/>
      <c r="N112" s="135"/>
      <c r="O112" s="139"/>
      <c r="P112" s="105"/>
      <c r="Q112" s="105"/>
      <c r="R112" s="201"/>
      <c r="S112" s="105"/>
      <c r="T112" s="201"/>
      <c r="U112" s="105"/>
      <c r="V112" s="145"/>
      <c r="W112" s="136"/>
      <c r="X112" s="201"/>
      <c r="Y112" s="145"/>
      <c r="Z112" s="139"/>
      <c r="AA112" s="201"/>
      <c r="AB112" s="139"/>
      <c r="AC112" s="139"/>
      <c r="AD112" s="103"/>
      <c r="AE112" s="139"/>
      <c r="AF112" s="201"/>
      <c r="AG112" s="145"/>
      <c r="AH112" s="139"/>
      <c r="AI112" s="139"/>
      <c r="AJ112" s="139"/>
      <c r="AK112" s="139"/>
      <c r="AL112" s="201"/>
      <c r="AM112" s="139"/>
      <c r="AN112" s="139"/>
      <c r="AO112" s="139"/>
      <c r="AP112" s="201"/>
      <c r="AQ112" s="144">
        <f t="shared" si="5"/>
        <v>0</v>
      </c>
    </row>
    <row r="113" spans="1:43" s="202" customFormat="1" ht="38.25" hidden="1" x14ac:dyDescent="0.2">
      <c r="A113" s="294"/>
      <c r="B113" s="295"/>
      <c r="C113" s="137" t="s">
        <v>23</v>
      </c>
      <c r="D113" s="132" t="s">
        <v>21</v>
      </c>
      <c r="E113" s="133"/>
      <c r="F113" s="201"/>
      <c r="G113" s="127"/>
      <c r="H113" s="138"/>
      <c r="I113" s="105"/>
      <c r="J113" s="105"/>
      <c r="K113" s="201"/>
      <c r="L113" s="105"/>
      <c r="M113" s="143"/>
      <c r="N113" s="135"/>
      <c r="O113" s="139"/>
      <c r="P113" s="105"/>
      <c r="Q113" s="105"/>
      <c r="R113" s="201"/>
      <c r="S113" s="105"/>
      <c r="T113" s="201"/>
      <c r="U113" s="105"/>
      <c r="V113" s="145"/>
      <c r="W113" s="136"/>
      <c r="X113" s="201"/>
      <c r="Y113" s="145"/>
      <c r="Z113" s="139"/>
      <c r="AA113" s="201"/>
      <c r="AB113" s="139"/>
      <c r="AC113" s="139"/>
      <c r="AD113" s="103"/>
      <c r="AE113" s="139"/>
      <c r="AF113" s="201"/>
      <c r="AG113" s="145"/>
      <c r="AH113" s="139"/>
      <c r="AI113" s="139"/>
      <c r="AJ113" s="139"/>
      <c r="AK113" s="139"/>
      <c r="AL113" s="201"/>
      <c r="AM113" s="139"/>
      <c r="AN113" s="139"/>
      <c r="AO113" s="139"/>
      <c r="AP113" s="201"/>
      <c r="AQ113" s="144">
        <f t="shared" si="5"/>
        <v>0</v>
      </c>
    </row>
    <row r="114" spans="1:43" s="202" customFormat="1" hidden="1" x14ac:dyDescent="0.2">
      <c r="A114" s="274"/>
      <c r="B114" s="275"/>
      <c r="C114" s="137" t="s">
        <v>24</v>
      </c>
      <c r="D114" s="132" t="s">
        <v>7</v>
      </c>
      <c r="E114" s="133"/>
      <c r="F114" s="201"/>
      <c r="G114" s="127"/>
      <c r="H114" s="138"/>
      <c r="I114" s="105"/>
      <c r="J114" s="105"/>
      <c r="K114" s="201"/>
      <c r="L114" s="105"/>
      <c r="M114" s="143"/>
      <c r="N114" s="135"/>
      <c r="O114" s="139"/>
      <c r="P114" s="105"/>
      <c r="Q114" s="105"/>
      <c r="R114" s="201"/>
      <c r="S114" s="105"/>
      <c r="T114" s="201"/>
      <c r="U114" s="105"/>
      <c r="V114" s="145"/>
      <c r="W114" s="136"/>
      <c r="X114" s="201"/>
      <c r="Y114" s="145"/>
      <c r="Z114" s="139"/>
      <c r="AA114" s="201"/>
      <c r="AB114" s="139"/>
      <c r="AC114" s="139"/>
      <c r="AD114" s="103"/>
      <c r="AE114" s="139"/>
      <c r="AF114" s="201"/>
      <c r="AG114" s="145"/>
      <c r="AH114" s="139"/>
      <c r="AI114" s="139"/>
      <c r="AJ114" s="139"/>
      <c r="AK114" s="139"/>
      <c r="AL114" s="201"/>
      <c r="AM114" s="139"/>
      <c r="AN114" s="139"/>
      <c r="AO114" s="139"/>
      <c r="AP114" s="201"/>
      <c r="AQ114" s="144">
        <f t="shared" si="5"/>
        <v>0</v>
      </c>
    </row>
    <row r="115" spans="1:43" s="202" customFormat="1" ht="25.5" hidden="1" x14ac:dyDescent="0.2">
      <c r="A115" s="294"/>
      <c r="B115" s="295"/>
      <c r="C115" s="137" t="s">
        <v>35</v>
      </c>
      <c r="D115" s="132" t="s">
        <v>26</v>
      </c>
      <c r="E115" s="133"/>
      <c r="F115" s="201"/>
      <c r="G115" s="127"/>
      <c r="H115" s="138"/>
      <c r="I115" s="105"/>
      <c r="J115" s="105"/>
      <c r="K115" s="201"/>
      <c r="L115" s="105"/>
      <c r="M115" s="143"/>
      <c r="N115" s="135"/>
      <c r="O115" s="139"/>
      <c r="P115" s="105"/>
      <c r="Q115" s="105"/>
      <c r="R115" s="201"/>
      <c r="S115" s="105"/>
      <c r="T115" s="201"/>
      <c r="U115" s="105"/>
      <c r="V115" s="145"/>
      <c r="W115" s="136"/>
      <c r="X115" s="201"/>
      <c r="Y115" s="145"/>
      <c r="Z115" s="139"/>
      <c r="AA115" s="201"/>
      <c r="AB115" s="139"/>
      <c r="AC115" s="139"/>
      <c r="AD115" s="103"/>
      <c r="AE115" s="139"/>
      <c r="AF115" s="201"/>
      <c r="AG115" s="145"/>
      <c r="AH115" s="139"/>
      <c r="AI115" s="139"/>
      <c r="AJ115" s="139"/>
      <c r="AK115" s="139"/>
      <c r="AL115" s="201"/>
      <c r="AM115" s="139"/>
      <c r="AN115" s="139"/>
      <c r="AO115" s="139"/>
      <c r="AP115" s="201"/>
      <c r="AQ115" s="144">
        <f t="shared" si="5"/>
        <v>0</v>
      </c>
    </row>
    <row r="116" spans="1:43" s="202" customFormat="1" ht="25.5" hidden="1" x14ac:dyDescent="0.2">
      <c r="A116" s="294"/>
      <c r="B116" s="295"/>
      <c r="C116" s="137" t="s">
        <v>27</v>
      </c>
      <c r="D116" s="132" t="s">
        <v>26</v>
      </c>
      <c r="E116" s="133"/>
      <c r="F116" s="201"/>
      <c r="G116" s="127"/>
      <c r="H116" s="138"/>
      <c r="I116" s="105"/>
      <c r="J116" s="105"/>
      <c r="K116" s="201"/>
      <c r="L116" s="105"/>
      <c r="M116" s="143"/>
      <c r="N116" s="135"/>
      <c r="O116" s="139"/>
      <c r="P116" s="105"/>
      <c r="Q116" s="105"/>
      <c r="R116" s="201"/>
      <c r="S116" s="105"/>
      <c r="T116" s="201"/>
      <c r="U116" s="105"/>
      <c r="V116" s="145"/>
      <c r="W116" s="136"/>
      <c r="X116" s="201"/>
      <c r="Y116" s="145"/>
      <c r="Z116" s="139"/>
      <c r="AA116" s="201"/>
      <c r="AB116" s="139"/>
      <c r="AC116" s="139"/>
      <c r="AD116" s="103"/>
      <c r="AE116" s="139"/>
      <c r="AF116" s="201"/>
      <c r="AG116" s="145"/>
      <c r="AH116" s="139"/>
      <c r="AI116" s="139"/>
      <c r="AJ116" s="139"/>
      <c r="AK116" s="139"/>
      <c r="AL116" s="201"/>
      <c r="AM116" s="139"/>
      <c r="AN116" s="139"/>
      <c r="AO116" s="139"/>
      <c r="AP116" s="201"/>
      <c r="AQ116" s="144">
        <f t="shared" si="5"/>
        <v>0</v>
      </c>
    </row>
    <row r="117" spans="1:43" s="202" customFormat="1" ht="25.5" hidden="1" x14ac:dyDescent="0.2">
      <c r="A117" s="294"/>
      <c r="B117" s="295"/>
      <c r="C117" s="137" t="s">
        <v>36</v>
      </c>
      <c r="D117" s="132" t="s">
        <v>7</v>
      </c>
      <c r="E117" s="133"/>
      <c r="F117" s="201"/>
      <c r="G117" s="127"/>
      <c r="H117" s="138"/>
      <c r="I117" s="105"/>
      <c r="J117" s="105"/>
      <c r="K117" s="201"/>
      <c r="L117" s="105"/>
      <c r="M117" s="143"/>
      <c r="N117" s="135"/>
      <c r="O117" s="139"/>
      <c r="P117" s="105"/>
      <c r="Q117" s="105"/>
      <c r="R117" s="201"/>
      <c r="S117" s="105"/>
      <c r="T117" s="201"/>
      <c r="U117" s="105"/>
      <c r="V117" s="145"/>
      <c r="W117" s="136"/>
      <c r="X117" s="201"/>
      <c r="Y117" s="145"/>
      <c r="Z117" s="139"/>
      <c r="AA117" s="201"/>
      <c r="AB117" s="139"/>
      <c r="AC117" s="139"/>
      <c r="AD117" s="103"/>
      <c r="AE117" s="139"/>
      <c r="AF117" s="201"/>
      <c r="AG117" s="145"/>
      <c r="AH117" s="139"/>
      <c r="AI117" s="139"/>
      <c r="AJ117" s="139"/>
      <c r="AK117" s="139"/>
      <c r="AL117" s="201"/>
      <c r="AM117" s="139"/>
      <c r="AN117" s="139"/>
      <c r="AO117" s="139"/>
      <c r="AP117" s="201"/>
      <c r="AQ117" s="144">
        <f t="shared" si="5"/>
        <v>0</v>
      </c>
    </row>
    <row r="118" spans="1:43" s="202" customFormat="1" ht="25.5" hidden="1" x14ac:dyDescent="0.2">
      <c r="A118" s="294"/>
      <c r="B118" s="295"/>
      <c r="C118" s="137" t="s">
        <v>25</v>
      </c>
      <c r="D118" s="132" t="s">
        <v>7</v>
      </c>
      <c r="E118" s="133"/>
      <c r="F118" s="201"/>
      <c r="G118" s="127"/>
      <c r="H118" s="138"/>
      <c r="I118" s="105"/>
      <c r="J118" s="105"/>
      <c r="K118" s="201"/>
      <c r="L118" s="105"/>
      <c r="M118" s="143"/>
      <c r="N118" s="135"/>
      <c r="O118" s="139"/>
      <c r="P118" s="105"/>
      <c r="Q118" s="105"/>
      <c r="R118" s="201"/>
      <c r="S118" s="105"/>
      <c r="T118" s="201"/>
      <c r="U118" s="105"/>
      <c r="V118" s="145"/>
      <c r="W118" s="136"/>
      <c r="X118" s="201"/>
      <c r="Y118" s="145"/>
      <c r="Z118" s="139"/>
      <c r="AA118" s="201"/>
      <c r="AB118" s="139"/>
      <c r="AC118" s="139"/>
      <c r="AD118" s="103"/>
      <c r="AE118" s="139"/>
      <c r="AF118" s="201"/>
      <c r="AG118" s="145"/>
      <c r="AH118" s="139"/>
      <c r="AI118" s="139"/>
      <c r="AJ118" s="139"/>
      <c r="AK118" s="139"/>
      <c r="AL118" s="201"/>
      <c r="AM118" s="139"/>
      <c r="AN118" s="139"/>
      <c r="AO118" s="139"/>
      <c r="AP118" s="201"/>
      <c r="AQ118" s="144">
        <f t="shared" si="5"/>
        <v>0</v>
      </c>
    </row>
    <row r="119" spans="1:43" s="202" customFormat="1" hidden="1" x14ac:dyDescent="0.2">
      <c r="A119" s="294"/>
      <c r="B119" s="295"/>
      <c r="C119" s="137" t="s">
        <v>30</v>
      </c>
      <c r="D119" s="132" t="s">
        <v>13</v>
      </c>
      <c r="E119" s="133"/>
      <c r="F119" s="201"/>
      <c r="G119" s="127"/>
      <c r="H119" s="138"/>
      <c r="I119" s="105"/>
      <c r="J119" s="105"/>
      <c r="K119" s="201"/>
      <c r="L119" s="105"/>
      <c r="M119" s="143"/>
      <c r="N119" s="135"/>
      <c r="O119" s="139"/>
      <c r="P119" s="105"/>
      <c r="Q119" s="105"/>
      <c r="R119" s="201"/>
      <c r="S119" s="105"/>
      <c r="T119" s="201"/>
      <c r="U119" s="105"/>
      <c r="V119" s="145"/>
      <c r="W119" s="136"/>
      <c r="X119" s="201"/>
      <c r="Y119" s="145"/>
      <c r="Z119" s="139"/>
      <c r="AA119" s="201"/>
      <c r="AB119" s="139"/>
      <c r="AC119" s="139"/>
      <c r="AD119" s="103"/>
      <c r="AE119" s="139"/>
      <c r="AF119" s="201"/>
      <c r="AG119" s="145"/>
      <c r="AH119" s="139"/>
      <c r="AI119" s="139"/>
      <c r="AJ119" s="139"/>
      <c r="AK119" s="139"/>
      <c r="AL119" s="201"/>
      <c r="AM119" s="139"/>
      <c r="AN119" s="139"/>
      <c r="AO119" s="139"/>
      <c r="AP119" s="201"/>
      <c r="AQ119" s="144">
        <f t="shared" si="5"/>
        <v>0</v>
      </c>
    </row>
    <row r="120" spans="1:43" s="202" customFormat="1" hidden="1" x14ac:dyDescent="0.2">
      <c r="A120" s="294"/>
      <c r="B120" s="295"/>
      <c r="C120" s="137" t="s">
        <v>31</v>
      </c>
      <c r="D120" s="132" t="s">
        <v>9</v>
      </c>
      <c r="E120" s="133"/>
      <c r="F120" s="201"/>
      <c r="G120" s="127"/>
      <c r="H120" s="138"/>
      <c r="I120" s="105"/>
      <c r="J120" s="105"/>
      <c r="K120" s="201"/>
      <c r="L120" s="105"/>
      <c r="M120" s="143"/>
      <c r="N120" s="135"/>
      <c r="O120" s="139"/>
      <c r="P120" s="105"/>
      <c r="Q120" s="105"/>
      <c r="R120" s="201"/>
      <c r="S120" s="105"/>
      <c r="T120" s="201"/>
      <c r="U120" s="105"/>
      <c r="V120" s="145"/>
      <c r="W120" s="136"/>
      <c r="X120" s="201"/>
      <c r="Y120" s="145"/>
      <c r="Z120" s="139"/>
      <c r="AA120" s="201"/>
      <c r="AB120" s="139"/>
      <c r="AC120" s="139"/>
      <c r="AD120" s="103"/>
      <c r="AE120" s="139"/>
      <c r="AF120" s="201"/>
      <c r="AG120" s="145"/>
      <c r="AH120" s="139"/>
      <c r="AI120" s="139"/>
      <c r="AJ120" s="139"/>
      <c r="AK120" s="139"/>
      <c r="AL120" s="201"/>
      <c r="AM120" s="139"/>
      <c r="AN120" s="139"/>
      <c r="AO120" s="139"/>
      <c r="AP120" s="201"/>
      <c r="AQ120" s="144">
        <f t="shared" si="5"/>
        <v>0</v>
      </c>
    </row>
    <row r="121" spans="1:43" s="202" customFormat="1" hidden="1" x14ac:dyDescent="0.2">
      <c r="A121" s="294"/>
      <c r="B121" s="295"/>
      <c r="C121" s="137" t="s">
        <v>32</v>
      </c>
      <c r="D121" s="132" t="s">
        <v>13</v>
      </c>
      <c r="E121" s="133"/>
      <c r="F121" s="201"/>
      <c r="G121" s="127"/>
      <c r="H121" s="138"/>
      <c r="I121" s="105"/>
      <c r="J121" s="105"/>
      <c r="K121" s="201"/>
      <c r="L121" s="105"/>
      <c r="M121" s="143"/>
      <c r="N121" s="135"/>
      <c r="O121" s="139"/>
      <c r="P121" s="105"/>
      <c r="Q121" s="105"/>
      <c r="R121" s="201"/>
      <c r="S121" s="105"/>
      <c r="T121" s="201"/>
      <c r="U121" s="105"/>
      <c r="V121" s="145"/>
      <c r="W121" s="136"/>
      <c r="X121" s="201"/>
      <c r="Y121" s="145"/>
      <c r="Z121" s="139"/>
      <c r="AA121" s="201"/>
      <c r="AB121" s="139"/>
      <c r="AC121" s="139"/>
      <c r="AD121" s="103"/>
      <c r="AE121" s="139"/>
      <c r="AF121" s="201"/>
      <c r="AG121" s="145"/>
      <c r="AH121" s="139"/>
      <c r="AI121" s="139"/>
      <c r="AJ121" s="139"/>
      <c r="AK121" s="139"/>
      <c r="AL121" s="201"/>
      <c r="AM121" s="139"/>
      <c r="AN121" s="139"/>
      <c r="AO121" s="139"/>
      <c r="AP121" s="201"/>
      <c r="AQ121" s="144">
        <f t="shared" si="5"/>
        <v>0</v>
      </c>
    </row>
    <row r="122" spans="1:43" s="202" customFormat="1" hidden="1" x14ac:dyDescent="0.2">
      <c r="A122" s="294"/>
      <c r="B122" s="295"/>
      <c r="C122" s="137" t="s">
        <v>33</v>
      </c>
      <c r="D122" s="132" t="s">
        <v>13</v>
      </c>
      <c r="E122" s="133"/>
      <c r="F122" s="201"/>
      <c r="G122" s="127"/>
      <c r="H122" s="138"/>
      <c r="I122" s="105"/>
      <c r="J122" s="105"/>
      <c r="K122" s="201"/>
      <c r="L122" s="105"/>
      <c r="M122" s="143"/>
      <c r="N122" s="135"/>
      <c r="O122" s="139"/>
      <c r="P122" s="105"/>
      <c r="Q122" s="105"/>
      <c r="R122" s="201"/>
      <c r="S122" s="105"/>
      <c r="T122" s="201"/>
      <c r="U122" s="105"/>
      <c r="V122" s="145"/>
      <c r="W122" s="136"/>
      <c r="X122" s="201"/>
      <c r="Y122" s="145"/>
      <c r="Z122" s="139"/>
      <c r="AA122" s="201"/>
      <c r="AB122" s="139"/>
      <c r="AC122" s="139"/>
      <c r="AD122" s="103"/>
      <c r="AE122" s="139"/>
      <c r="AF122" s="201"/>
      <c r="AG122" s="145"/>
      <c r="AH122" s="139"/>
      <c r="AI122" s="139"/>
      <c r="AJ122" s="139"/>
      <c r="AK122" s="139"/>
      <c r="AL122" s="201"/>
      <c r="AM122" s="139"/>
      <c r="AN122" s="139"/>
      <c r="AO122" s="139"/>
      <c r="AP122" s="201"/>
      <c r="AQ122" s="144">
        <f t="shared" si="5"/>
        <v>0</v>
      </c>
    </row>
    <row r="123" spans="1:43" s="202" customFormat="1" hidden="1" x14ac:dyDescent="0.2">
      <c r="A123" s="294"/>
      <c r="B123" s="295"/>
      <c r="C123" s="137" t="s">
        <v>34</v>
      </c>
      <c r="D123" s="132" t="s">
        <v>9</v>
      </c>
      <c r="E123" s="133"/>
      <c r="F123" s="201"/>
      <c r="G123" s="127"/>
      <c r="H123" s="138"/>
      <c r="I123" s="105"/>
      <c r="J123" s="105"/>
      <c r="K123" s="201"/>
      <c r="L123" s="105"/>
      <c r="M123" s="143"/>
      <c r="N123" s="135"/>
      <c r="O123" s="139"/>
      <c r="P123" s="105"/>
      <c r="Q123" s="105"/>
      <c r="R123" s="201"/>
      <c r="S123" s="105"/>
      <c r="T123" s="201"/>
      <c r="U123" s="105"/>
      <c r="V123" s="145"/>
      <c r="W123" s="136"/>
      <c r="X123" s="201"/>
      <c r="Y123" s="145"/>
      <c r="Z123" s="139"/>
      <c r="AA123" s="201"/>
      <c r="AB123" s="139"/>
      <c r="AC123" s="139"/>
      <c r="AD123" s="103"/>
      <c r="AE123" s="139"/>
      <c r="AF123" s="201"/>
      <c r="AG123" s="145"/>
      <c r="AH123" s="139"/>
      <c r="AI123" s="139"/>
      <c r="AJ123" s="139"/>
      <c r="AK123" s="139"/>
      <c r="AL123" s="201"/>
      <c r="AM123" s="139"/>
      <c r="AN123" s="139"/>
      <c r="AO123" s="139"/>
      <c r="AP123" s="201"/>
      <c r="AQ123" s="144">
        <f t="shared" si="5"/>
        <v>0</v>
      </c>
    </row>
    <row r="124" spans="1:43" s="202" customFormat="1" hidden="1" x14ac:dyDescent="0.2">
      <c r="A124" s="294"/>
      <c r="B124" s="295"/>
      <c r="C124" s="137"/>
      <c r="D124" s="132"/>
      <c r="E124" s="133"/>
      <c r="F124" s="201"/>
      <c r="G124" s="127"/>
      <c r="H124" s="138"/>
      <c r="I124" s="105"/>
      <c r="J124" s="105"/>
      <c r="K124" s="201"/>
      <c r="L124" s="105"/>
      <c r="M124" s="143"/>
      <c r="N124" s="135"/>
      <c r="O124" s="139"/>
      <c r="P124" s="105"/>
      <c r="Q124" s="105"/>
      <c r="R124" s="201"/>
      <c r="S124" s="105"/>
      <c r="T124" s="201"/>
      <c r="U124" s="105"/>
      <c r="V124" s="145"/>
      <c r="W124" s="136"/>
      <c r="X124" s="201"/>
      <c r="Y124" s="145"/>
      <c r="Z124" s="139"/>
      <c r="AA124" s="201"/>
      <c r="AB124" s="139"/>
      <c r="AC124" s="139"/>
      <c r="AD124" s="103"/>
      <c r="AE124" s="139"/>
      <c r="AF124" s="201"/>
      <c r="AG124" s="145"/>
      <c r="AH124" s="139"/>
      <c r="AI124" s="139"/>
      <c r="AJ124" s="139"/>
      <c r="AK124" s="139"/>
      <c r="AL124" s="201"/>
      <c r="AM124" s="139"/>
      <c r="AN124" s="139"/>
      <c r="AO124" s="139"/>
      <c r="AP124" s="201"/>
      <c r="AQ124" s="144">
        <f t="shared" si="5"/>
        <v>0</v>
      </c>
    </row>
    <row r="125" spans="1:43" s="202" customFormat="1" hidden="1" x14ac:dyDescent="0.2">
      <c r="A125" s="294"/>
      <c r="B125" s="295"/>
      <c r="C125" s="137"/>
      <c r="D125" s="132"/>
      <c r="E125" s="133"/>
      <c r="F125" s="201"/>
      <c r="G125" s="127"/>
      <c r="H125" s="138"/>
      <c r="I125" s="105"/>
      <c r="J125" s="105"/>
      <c r="K125" s="201"/>
      <c r="L125" s="105"/>
      <c r="M125" s="143"/>
      <c r="N125" s="135"/>
      <c r="O125" s="139"/>
      <c r="P125" s="105"/>
      <c r="Q125" s="105"/>
      <c r="R125" s="201"/>
      <c r="S125" s="105"/>
      <c r="T125" s="201"/>
      <c r="U125" s="105"/>
      <c r="V125" s="145"/>
      <c r="W125" s="136"/>
      <c r="X125" s="201"/>
      <c r="Y125" s="145"/>
      <c r="Z125" s="139"/>
      <c r="AA125" s="201"/>
      <c r="AB125" s="139"/>
      <c r="AC125" s="139"/>
      <c r="AD125" s="103"/>
      <c r="AE125" s="139"/>
      <c r="AF125" s="201"/>
      <c r="AG125" s="145"/>
      <c r="AH125" s="139"/>
      <c r="AI125" s="139"/>
      <c r="AJ125" s="139"/>
      <c r="AK125" s="139"/>
      <c r="AL125" s="201"/>
      <c r="AM125" s="139"/>
      <c r="AN125" s="139"/>
      <c r="AO125" s="139"/>
      <c r="AP125" s="201"/>
      <c r="AQ125" s="144">
        <f t="shared" si="5"/>
        <v>0</v>
      </c>
    </row>
    <row r="126" spans="1:43" s="118" customFormat="1" ht="17.25" customHeight="1" x14ac:dyDescent="0.25">
      <c r="A126" s="306"/>
      <c r="B126" s="307"/>
      <c r="C126" s="192" t="s">
        <v>214</v>
      </c>
      <c r="D126" s="122"/>
      <c r="E126" s="193"/>
      <c r="F126" s="111"/>
      <c r="G126" s="194"/>
      <c r="H126" s="195"/>
      <c r="I126" s="117"/>
      <c r="J126" s="117"/>
      <c r="K126" s="111"/>
      <c r="L126" s="117"/>
      <c r="M126" s="196"/>
      <c r="N126" s="197"/>
      <c r="O126" s="198"/>
      <c r="P126" s="117"/>
      <c r="Q126" s="117"/>
      <c r="R126" s="111"/>
      <c r="S126" s="117"/>
      <c r="T126" s="111"/>
      <c r="U126" s="117"/>
      <c r="V126" s="199"/>
      <c r="W126" s="200"/>
      <c r="X126" s="111"/>
      <c r="Y126" s="199"/>
      <c r="Z126" s="198"/>
      <c r="AA126" s="111"/>
      <c r="AB126" s="198"/>
      <c r="AC126" s="198"/>
      <c r="AD126" s="195"/>
      <c r="AE126" s="198"/>
      <c r="AF126" s="111"/>
      <c r="AG126" s="199"/>
      <c r="AH126" s="198"/>
      <c r="AI126" s="198"/>
      <c r="AJ126" s="198"/>
      <c r="AK126" s="198"/>
      <c r="AL126" s="111"/>
      <c r="AM126" s="198"/>
      <c r="AN126" s="198"/>
      <c r="AO126" s="198"/>
      <c r="AP126" s="111"/>
      <c r="AQ126" s="144">
        <f t="shared" si="5"/>
        <v>0</v>
      </c>
    </row>
    <row r="127" spans="1:43" s="202" customFormat="1" ht="25.5" hidden="1" x14ac:dyDescent="0.2">
      <c r="A127" s="294"/>
      <c r="B127" s="295"/>
      <c r="C127" s="137" t="s">
        <v>215</v>
      </c>
      <c r="D127" s="132" t="s">
        <v>9</v>
      </c>
      <c r="E127" s="133"/>
      <c r="F127" s="201"/>
      <c r="G127" s="127"/>
      <c r="H127" s="138"/>
      <c r="I127" s="105"/>
      <c r="J127" s="105"/>
      <c r="K127" s="201"/>
      <c r="L127" s="105"/>
      <c r="M127" s="143"/>
      <c r="N127" s="135"/>
      <c r="O127" s="139"/>
      <c r="P127" s="105"/>
      <c r="Q127" s="105"/>
      <c r="R127" s="201"/>
      <c r="S127" s="105"/>
      <c r="T127" s="201"/>
      <c r="U127" s="105"/>
      <c r="V127" s="145"/>
      <c r="W127" s="136"/>
      <c r="X127" s="201"/>
      <c r="Y127" s="145"/>
      <c r="Z127" s="139"/>
      <c r="AA127" s="201"/>
      <c r="AB127" s="139"/>
      <c r="AC127" s="139"/>
      <c r="AD127" s="103"/>
      <c r="AE127" s="139"/>
      <c r="AF127" s="201"/>
      <c r="AG127" s="145"/>
      <c r="AH127" s="139"/>
      <c r="AI127" s="139"/>
      <c r="AJ127" s="139"/>
      <c r="AK127" s="139"/>
      <c r="AL127" s="201"/>
      <c r="AM127" s="139"/>
      <c r="AN127" s="139"/>
      <c r="AO127" s="139"/>
      <c r="AP127" s="201"/>
      <c r="AQ127" s="144">
        <f t="shared" si="5"/>
        <v>0</v>
      </c>
    </row>
    <row r="128" spans="1:43" s="202" customFormat="1" ht="25.5" hidden="1" x14ac:dyDescent="0.2">
      <c r="A128" s="294"/>
      <c r="B128" s="295"/>
      <c r="C128" s="137" t="s">
        <v>216</v>
      </c>
      <c r="D128" s="132" t="s">
        <v>9</v>
      </c>
      <c r="E128" s="133"/>
      <c r="F128" s="201"/>
      <c r="G128" s="127"/>
      <c r="H128" s="138"/>
      <c r="I128" s="105"/>
      <c r="J128" s="105"/>
      <c r="K128" s="201"/>
      <c r="L128" s="105"/>
      <c r="M128" s="143"/>
      <c r="N128" s="135"/>
      <c r="O128" s="139"/>
      <c r="P128" s="105"/>
      <c r="Q128" s="105"/>
      <c r="R128" s="201"/>
      <c r="S128" s="105"/>
      <c r="T128" s="201"/>
      <c r="U128" s="105"/>
      <c r="V128" s="145"/>
      <c r="W128" s="136"/>
      <c r="X128" s="201"/>
      <c r="Y128" s="145"/>
      <c r="Z128" s="139"/>
      <c r="AA128" s="201"/>
      <c r="AB128" s="139"/>
      <c r="AC128" s="139"/>
      <c r="AD128" s="103"/>
      <c r="AE128" s="139"/>
      <c r="AF128" s="201"/>
      <c r="AG128" s="145"/>
      <c r="AH128" s="139"/>
      <c r="AI128" s="139"/>
      <c r="AJ128" s="139"/>
      <c r="AK128" s="139"/>
      <c r="AL128" s="201"/>
      <c r="AM128" s="139"/>
      <c r="AN128" s="139"/>
      <c r="AO128" s="139"/>
      <c r="AP128" s="201"/>
      <c r="AQ128" s="144">
        <f t="shared" si="5"/>
        <v>0</v>
      </c>
    </row>
    <row r="129" spans="1:43" s="202" customFormat="1" ht="38.25" hidden="1" x14ac:dyDescent="0.2">
      <c r="A129" s="294"/>
      <c r="B129" s="295"/>
      <c r="C129" s="137" t="s">
        <v>217</v>
      </c>
      <c r="D129" s="132" t="s">
        <v>9</v>
      </c>
      <c r="E129" s="133"/>
      <c r="F129" s="201"/>
      <c r="G129" s="127"/>
      <c r="H129" s="138"/>
      <c r="I129" s="105"/>
      <c r="J129" s="105"/>
      <c r="K129" s="201"/>
      <c r="L129" s="105"/>
      <c r="M129" s="143"/>
      <c r="N129" s="135"/>
      <c r="O129" s="139"/>
      <c r="P129" s="105"/>
      <c r="Q129" s="105"/>
      <c r="R129" s="201"/>
      <c r="S129" s="105"/>
      <c r="T129" s="201"/>
      <c r="U129" s="105"/>
      <c r="V129" s="145"/>
      <c r="W129" s="136"/>
      <c r="X129" s="201"/>
      <c r="Y129" s="145"/>
      <c r="Z129" s="139"/>
      <c r="AA129" s="201"/>
      <c r="AB129" s="139"/>
      <c r="AC129" s="139"/>
      <c r="AD129" s="103"/>
      <c r="AE129" s="139"/>
      <c r="AF129" s="201"/>
      <c r="AG129" s="145"/>
      <c r="AH129" s="139"/>
      <c r="AI129" s="139"/>
      <c r="AJ129" s="139"/>
      <c r="AK129" s="139"/>
      <c r="AL129" s="201"/>
      <c r="AM129" s="139"/>
      <c r="AN129" s="139"/>
      <c r="AO129" s="139"/>
      <c r="AP129" s="201"/>
      <c r="AQ129" s="144">
        <f t="shared" si="5"/>
        <v>0</v>
      </c>
    </row>
    <row r="130" spans="1:43" s="202" customFormat="1" ht="38.25" hidden="1" x14ac:dyDescent="0.2">
      <c r="A130" s="294"/>
      <c r="B130" s="295"/>
      <c r="C130" s="137" t="s">
        <v>218</v>
      </c>
      <c r="D130" s="132" t="s">
        <v>9</v>
      </c>
      <c r="E130" s="133"/>
      <c r="F130" s="201"/>
      <c r="G130" s="127"/>
      <c r="H130" s="138"/>
      <c r="I130" s="105"/>
      <c r="J130" s="105"/>
      <c r="K130" s="201"/>
      <c r="L130" s="105"/>
      <c r="M130" s="143"/>
      <c r="N130" s="135"/>
      <c r="O130" s="139"/>
      <c r="P130" s="105"/>
      <c r="Q130" s="105"/>
      <c r="R130" s="201"/>
      <c r="S130" s="105"/>
      <c r="T130" s="201"/>
      <c r="U130" s="105"/>
      <c r="V130" s="145"/>
      <c r="W130" s="136"/>
      <c r="X130" s="201"/>
      <c r="Y130" s="145"/>
      <c r="Z130" s="139"/>
      <c r="AA130" s="201"/>
      <c r="AB130" s="139"/>
      <c r="AC130" s="139"/>
      <c r="AD130" s="103"/>
      <c r="AE130" s="139"/>
      <c r="AF130" s="201"/>
      <c r="AG130" s="145"/>
      <c r="AH130" s="139"/>
      <c r="AI130" s="139"/>
      <c r="AJ130" s="139"/>
      <c r="AK130" s="139"/>
      <c r="AL130" s="201"/>
      <c r="AM130" s="139"/>
      <c r="AN130" s="139"/>
      <c r="AO130" s="139"/>
      <c r="AP130" s="201"/>
      <c r="AQ130" s="144">
        <f t="shared" si="5"/>
        <v>0</v>
      </c>
    </row>
    <row r="131" spans="1:43" s="202" customFormat="1" ht="25.5" hidden="1" x14ac:dyDescent="0.2">
      <c r="A131" s="294"/>
      <c r="B131" s="295"/>
      <c r="C131" s="137" t="s">
        <v>219</v>
      </c>
      <c r="D131" s="132" t="s">
        <v>9</v>
      </c>
      <c r="E131" s="133"/>
      <c r="F131" s="201"/>
      <c r="G131" s="127"/>
      <c r="H131" s="138"/>
      <c r="I131" s="105"/>
      <c r="J131" s="105"/>
      <c r="K131" s="201"/>
      <c r="L131" s="105"/>
      <c r="M131" s="143"/>
      <c r="N131" s="135"/>
      <c r="O131" s="139"/>
      <c r="P131" s="105"/>
      <c r="Q131" s="105"/>
      <c r="R131" s="201"/>
      <c r="S131" s="105"/>
      <c r="T131" s="201"/>
      <c r="U131" s="105"/>
      <c r="V131" s="145"/>
      <c r="W131" s="136"/>
      <c r="X131" s="201"/>
      <c r="Y131" s="145"/>
      <c r="Z131" s="139"/>
      <c r="AA131" s="201"/>
      <c r="AB131" s="139"/>
      <c r="AC131" s="139"/>
      <c r="AD131" s="103"/>
      <c r="AE131" s="139"/>
      <c r="AF131" s="201"/>
      <c r="AG131" s="145"/>
      <c r="AH131" s="139"/>
      <c r="AI131" s="139"/>
      <c r="AJ131" s="139"/>
      <c r="AK131" s="139"/>
      <c r="AL131" s="201"/>
      <c r="AM131" s="139"/>
      <c r="AN131" s="139"/>
      <c r="AO131" s="139"/>
      <c r="AP131" s="201"/>
      <c r="AQ131" s="144">
        <f t="shared" si="5"/>
        <v>0</v>
      </c>
    </row>
    <row r="132" spans="1:43" s="202" customFormat="1" ht="25.5" hidden="1" x14ac:dyDescent="0.2">
      <c r="A132" s="294"/>
      <c r="B132" s="295"/>
      <c r="C132" s="137" t="s">
        <v>220</v>
      </c>
      <c r="D132" s="132" t="s">
        <v>9</v>
      </c>
      <c r="E132" s="133"/>
      <c r="F132" s="201"/>
      <c r="G132" s="127"/>
      <c r="H132" s="138"/>
      <c r="I132" s="105"/>
      <c r="J132" s="105"/>
      <c r="K132" s="201"/>
      <c r="L132" s="105"/>
      <c r="M132" s="143"/>
      <c r="N132" s="135"/>
      <c r="O132" s="139"/>
      <c r="P132" s="105"/>
      <c r="Q132" s="105"/>
      <c r="R132" s="201"/>
      <c r="S132" s="105"/>
      <c r="T132" s="201"/>
      <c r="U132" s="105"/>
      <c r="V132" s="145"/>
      <c r="W132" s="136"/>
      <c r="X132" s="201"/>
      <c r="Y132" s="145"/>
      <c r="Z132" s="139"/>
      <c r="AA132" s="201"/>
      <c r="AB132" s="139"/>
      <c r="AC132" s="139"/>
      <c r="AD132" s="103"/>
      <c r="AE132" s="139"/>
      <c r="AF132" s="201"/>
      <c r="AG132" s="145"/>
      <c r="AH132" s="139"/>
      <c r="AI132" s="139"/>
      <c r="AJ132" s="139"/>
      <c r="AK132" s="139"/>
      <c r="AL132" s="201"/>
      <c r="AM132" s="139"/>
      <c r="AN132" s="139"/>
      <c r="AO132" s="139"/>
      <c r="AP132" s="201"/>
      <c r="AQ132" s="144">
        <f t="shared" si="5"/>
        <v>0</v>
      </c>
    </row>
    <row r="133" spans="1:43" s="202" customFormat="1" ht="25.5" hidden="1" x14ac:dyDescent="0.2">
      <c r="A133" s="294"/>
      <c r="B133" s="295"/>
      <c r="C133" s="137" t="s">
        <v>221</v>
      </c>
      <c r="D133" s="132" t="s">
        <v>9</v>
      </c>
      <c r="E133" s="133"/>
      <c r="F133" s="201"/>
      <c r="G133" s="127"/>
      <c r="H133" s="138"/>
      <c r="I133" s="103"/>
      <c r="J133" s="105"/>
      <c r="K133" s="201"/>
      <c r="L133" s="105"/>
      <c r="M133" s="128"/>
      <c r="N133" s="135"/>
      <c r="O133" s="103"/>
      <c r="P133" s="105"/>
      <c r="Q133" s="105"/>
      <c r="R133" s="201"/>
      <c r="S133" s="105"/>
      <c r="T133" s="201"/>
      <c r="U133" s="105"/>
      <c r="V133" s="145"/>
      <c r="W133" s="136"/>
      <c r="X133" s="201"/>
      <c r="Y133" s="145"/>
      <c r="Z133" s="103"/>
      <c r="AA133" s="201"/>
      <c r="AB133" s="139"/>
      <c r="AC133" s="139"/>
      <c r="AD133" s="103"/>
      <c r="AE133" s="139"/>
      <c r="AF133" s="201"/>
      <c r="AG133" s="145"/>
      <c r="AH133" s="139"/>
      <c r="AI133" s="139"/>
      <c r="AJ133" s="139"/>
      <c r="AK133" s="139"/>
      <c r="AL133" s="201"/>
      <c r="AM133" s="139"/>
      <c r="AN133" s="139"/>
      <c r="AO133" s="139"/>
      <c r="AP133" s="201"/>
      <c r="AQ133" s="144">
        <f t="shared" si="5"/>
        <v>0</v>
      </c>
    </row>
    <row r="134" spans="1:43" s="202" customFormat="1" ht="25.5" hidden="1" x14ac:dyDescent="0.2">
      <c r="A134" s="294"/>
      <c r="B134" s="295"/>
      <c r="C134" s="137" t="s">
        <v>222</v>
      </c>
      <c r="D134" s="132" t="s">
        <v>9</v>
      </c>
      <c r="E134" s="133"/>
      <c r="F134" s="201"/>
      <c r="G134" s="127"/>
      <c r="H134" s="138"/>
      <c r="I134" s="105"/>
      <c r="J134" s="105"/>
      <c r="K134" s="201"/>
      <c r="L134" s="105"/>
      <c r="M134" s="143"/>
      <c r="N134" s="135"/>
      <c r="O134" s="139"/>
      <c r="P134" s="105"/>
      <c r="Q134" s="105"/>
      <c r="R134" s="201"/>
      <c r="S134" s="105"/>
      <c r="T134" s="201"/>
      <c r="U134" s="105"/>
      <c r="V134" s="145"/>
      <c r="W134" s="136"/>
      <c r="X134" s="201"/>
      <c r="Y134" s="145"/>
      <c r="Z134" s="139"/>
      <c r="AA134" s="201"/>
      <c r="AB134" s="139"/>
      <c r="AC134" s="139"/>
      <c r="AD134" s="103"/>
      <c r="AE134" s="139"/>
      <c r="AF134" s="201"/>
      <c r="AG134" s="145"/>
      <c r="AH134" s="139"/>
      <c r="AI134" s="139"/>
      <c r="AJ134" s="139"/>
      <c r="AK134" s="139"/>
      <c r="AL134" s="201"/>
      <c r="AM134" s="139"/>
      <c r="AN134" s="139"/>
      <c r="AO134" s="139"/>
      <c r="AP134" s="201"/>
      <c r="AQ134" s="144">
        <f t="shared" si="5"/>
        <v>0</v>
      </c>
    </row>
    <row r="135" spans="1:43" s="202" customFormat="1" ht="25.5" hidden="1" x14ac:dyDescent="0.2">
      <c r="A135" s="294"/>
      <c r="B135" s="295"/>
      <c r="C135" s="137" t="s">
        <v>223</v>
      </c>
      <c r="D135" s="132" t="s">
        <v>9</v>
      </c>
      <c r="E135" s="133"/>
      <c r="F135" s="201"/>
      <c r="G135" s="127"/>
      <c r="H135" s="138"/>
      <c r="I135" s="105"/>
      <c r="J135" s="105"/>
      <c r="K135" s="201"/>
      <c r="L135" s="105"/>
      <c r="M135" s="143"/>
      <c r="N135" s="135"/>
      <c r="O135" s="139"/>
      <c r="P135" s="105"/>
      <c r="Q135" s="105"/>
      <c r="R135" s="201"/>
      <c r="S135" s="105"/>
      <c r="T135" s="201"/>
      <c r="U135" s="105"/>
      <c r="V135" s="145"/>
      <c r="W135" s="136"/>
      <c r="X135" s="201"/>
      <c r="Y135" s="145"/>
      <c r="Z135" s="139"/>
      <c r="AA135" s="201"/>
      <c r="AB135" s="139"/>
      <c r="AC135" s="139"/>
      <c r="AD135" s="103"/>
      <c r="AE135" s="139"/>
      <c r="AF135" s="201"/>
      <c r="AG135" s="145"/>
      <c r="AH135" s="139"/>
      <c r="AI135" s="139"/>
      <c r="AJ135" s="139"/>
      <c r="AK135" s="139"/>
      <c r="AL135" s="201"/>
      <c r="AM135" s="139"/>
      <c r="AN135" s="139"/>
      <c r="AO135" s="139"/>
      <c r="AP135" s="201"/>
      <c r="AQ135" s="144">
        <f t="shared" si="5"/>
        <v>0</v>
      </c>
    </row>
    <row r="136" spans="1:43" s="202" customFormat="1" ht="25.5" hidden="1" x14ac:dyDescent="0.2">
      <c r="A136" s="294"/>
      <c r="B136" s="295"/>
      <c r="C136" s="137" t="s">
        <v>224</v>
      </c>
      <c r="D136" s="132" t="s">
        <v>9</v>
      </c>
      <c r="E136" s="133"/>
      <c r="F136" s="201"/>
      <c r="G136" s="127"/>
      <c r="H136" s="138"/>
      <c r="I136" s="105"/>
      <c r="J136" s="105"/>
      <c r="K136" s="201"/>
      <c r="L136" s="105"/>
      <c r="M136" s="143"/>
      <c r="N136" s="135"/>
      <c r="O136" s="139"/>
      <c r="P136" s="105"/>
      <c r="Q136" s="105"/>
      <c r="R136" s="201"/>
      <c r="S136" s="105"/>
      <c r="T136" s="201"/>
      <c r="U136" s="105"/>
      <c r="V136" s="145"/>
      <c r="W136" s="136"/>
      <c r="X136" s="201"/>
      <c r="Y136" s="145"/>
      <c r="Z136" s="139"/>
      <c r="AA136" s="201"/>
      <c r="AB136" s="139"/>
      <c r="AC136" s="139"/>
      <c r="AD136" s="103"/>
      <c r="AE136" s="139"/>
      <c r="AF136" s="201"/>
      <c r="AG136" s="145"/>
      <c r="AH136" s="139"/>
      <c r="AI136" s="139"/>
      <c r="AJ136" s="139"/>
      <c r="AK136" s="139"/>
      <c r="AL136" s="201"/>
      <c r="AM136" s="139"/>
      <c r="AN136" s="139"/>
      <c r="AO136" s="139"/>
      <c r="AP136" s="201"/>
      <c r="AQ136" s="144">
        <f t="shared" si="5"/>
        <v>0</v>
      </c>
    </row>
    <row r="137" spans="1:43" s="202" customFormat="1" ht="25.5" hidden="1" x14ac:dyDescent="0.2">
      <c r="A137" s="294"/>
      <c r="B137" s="295"/>
      <c r="C137" s="137" t="s">
        <v>225</v>
      </c>
      <c r="D137" s="132" t="s">
        <v>9</v>
      </c>
      <c r="E137" s="133"/>
      <c r="F137" s="201"/>
      <c r="G137" s="127"/>
      <c r="H137" s="138"/>
      <c r="I137" s="105"/>
      <c r="J137" s="105"/>
      <c r="K137" s="201"/>
      <c r="L137" s="105"/>
      <c r="M137" s="143"/>
      <c r="N137" s="135"/>
      <c r="O137" s="139"/>
      <c r="P137" s="105"/>
      <c r="Q137" s="105"/>
      <c r="R137" s="201"/>
      <c r="S137" s="105"/>
      <c r="T137" s="201"/>
      <c r="U137" s="105"/>
      <c r="V137" s="145"/>
      <c r="W137" s="136"/>
      <c r="X137" s="201"/>
      <c r="Y137" s="145"/>
      <c r="Z137" s="139"/>
      <c r="AA137" s="201"/>
      <c r="AB137" s="139"/>
      <c r="AC137" s="139"/>
      <c r="AD137" s="103"/>
      <c r="AE137" s="139"/>
      <c r="AF137" s="201"/>
      <c r="AG137" s="145"/>
      <c r="AH137" s="139"/>
      <c r="AI137" s="139"/>
      <c r="AJ137" s="139"/>
      <c r="AK137" s="139"/>
      <c r="AL137" s="201"/>
      <c r="AM137" s="139"/>
      <c r="AN137" s="139"/>
      <c r="AO137" s="139"/>
      <c r="AP137" s="201"/>
      <c r="AQ137" s="144">
        <f t="shared" si="5"/>
        <v>0</v>
      </c>
    </row>
    <row r="138" spans="1:43" s="202" customFormat="1" ht="25.5" hidden="1" x14ac:dyDescent="0.2">
      <c r="A138" s="294"/>
      <c r="B138" s="295"/>
      <c r="C138" s="137" t="s">
        <v>226</v>
      </c>
      <c r="D138" s="132" t="s">
        <v>9</v>
      </c>
      <c r="E138" s="133"/>
      <c r="F138" s="201"/>
      <c r="G138" s="127"/>
      <c r="H138" s="138"/>
      <c r="I138" s="105"/>
      <c r="J138" s="105"/>
      <c r="K138" s="201"/>
      <c r="L138" s="105"/>
      <c r="M138" s="143"/>
      <c r="N138" s="135"/>
      <c r="O138" s="139"/>
      <c r="P138" s="105"/>
      <c r="Q138" s="105"/>
      <c r="R138" s="201"/>
      <c r="S138" s="105"/>
      <c r="T138" s="201"/>
      <c r="U138" s="105"/>
      <c r="V138" s="145"/>
      <c r="W138" s="136"/>
      <c r="X138" s="201"/>
      <c r="Y138" s="145"/>
      <c r="Z138" s="139"/>
      <c r="AA138" s="201"/>
      <c r="AB138" s="139"/>
      <c r="AC138" s="139"/>
      <c r="AD138" s="103"/>
      <c r="AE138" s="139"/>
      <c r="AF138" s="201"/>
      <c r="AG138" s="145"/>
      <c r="AH138" s="139"/>
      <c r="AI138" s="139"/>
      <c r="AJ138" s="139"/>
      <c r="AK138" s="139"/>
      <c r="AL138" s="201"/>
      <c r="AM138" s="139"/>
      <c r="AN138" s="139"/>
      <c r="AO138" s="139"/>
      <c r="AP138" s="201"/>
      <c r="AQ138" s="144">
        <f t="shared" si="5"/>
        <v>0</v>
      </c>
    </row>
    <row r="139" spans="1:43" s="202" customFormat="1" ht="25.5" hidden="1" x14ac:dyDescent="0.2">
      <c r="A139" s="294"/>
      <c r="B139" s="295"/>
      <c r="C139" s="137" t="s">
        <v>227</v>
      </c>
      <c r="D139" s="132" t="s">
        <v>9</v>
      </c>
      <c r="E139" s="133"/>
      <c r="F139" s="201"/>
      <c r="G139" s="127"/>
      <c r="H139" s="138"/>
      <c r="I139" s="105"/>
      <c r="J139" s="105"/>
      <c r="K139" s="201"/>
      <c r="L139" s="105"/>
      <c r="M139" s="143"/>
      <c r="N139" s="135"/>
      <c r="O139" s="139"/>
      <c r="P139" s="105"/>
      <c r="Q139" s="105"/>
      <c r="R139" s="201"/>
      <c r="S139" s="105"/>
      <c r="T139" s="201"/>
      <c r="U139" s="105"/>
      <c r="V139" s="145"/>
      <c r="W139" s="136"/>
      <c r="X139" s="201"/>
      <c r="Y139" s="145"/>
      <c r="Z139" s="139"/>
      <c r="AA139" s="201"/>
      <c r="AB139" s="139"/>
      <c r="AC139" s="139"/>
      <c r="AD139" s="103"/>
      <c r="AE139" s="139"/>
      <c r="AF139" s="201"/>
      <c r="AG139" s="145"/>
      <c r="AH139" s="139"/>
      <c r="AI139" s="139"/>
      <c r="AJ139" s="139"/>
      <c r="AK139" s="139"/>
      <c r="AL139" s="201"/>
      <c r="AM139" s="139"/>
      <c r="AN139" s="139"/>
      <c r="AO139" s="139"/>
      <c r="AP139" s="201"/>
      <c r="AQ139" s="144">
        <f t="shared" si="5"/>
        <v>0</v>
      </c>
    </row>
    <row r="140" spans="1:43" s="205" customFormat="1" ht="25.5" x14ac:dyDescent="0.25">
      <c r="A140" s="304"/>
      <c r="B140" s="305"/>
      <c r="C140" s="178" t="s">
        <v>228</v>
      </c>
      <c r="D140" s="179" t="s">
        <v>9</v>
      </c>
      <c r="E140" s="203">
        <v>1</v>
      </c>
      <c r="F140" s="141"/>
      <c r="G140" s="127">
        <v>1</v>
      </c>
      <c r="H140" s="103">
        <v>1</v>
      </c>
      <c r="I140" s="145"/>
      <c r="J140" s="204">
        <v>1</v>
      </c>
      <c r="K140" s="141"/>
      <c r="L140" s="204">
        <v>1</v>
      </c>
      <c r="M140" s="128"/>
      <c r="N140" s="135"/>
      <c r="O140" s="103"/>
      <c r="P140" s="204">
        <v>1</v>
      </c>
      <c r="Q140" s="204">
        <v>1</v>
      </c>
      <c r="R140" s="141"/>
      <c r="S140" s="204">
        <v>1</v>
      </c>
      <c r="T140" s="141"/>
      <c r="U140" s="204">
        <v>1</v>
      </c>
      <c r="V140" s="103">
        <v>1</v>
      </c>
      <c r="W140" s="203">
        <v>1</v>
      </c>
      <c r="X140" s="141"/>
      <c r="Y140" s="103">
        <v>1</v>
      </c>
      <c r="Z140" s="103"/>
      <c r="AA140" s="141"/>
      <c r="AB140" s="204">
        <v>1</v>
      </c>
      <c r="AC140" s="204">
        <v>1</v>
      </c>
      <c r="AD140" s="103"/>
      <c r="AE140" s="204">
        <v>1</v>
      </c>
      <c r="AF140" s="141"/>
      <c r="AG140" s="103">
        <v>1</v>
      </c>
      <c r="AH140" s="204">
        <v>1</v>
      </c>
      <c r="AI140" s="204">
        <v>1</v>
      </c>
      <c r="AJ140" s="204">
        <v>1</v>
      </c>
      <c r="AK140" s="204">
        <v>1</v>
      </c>
      <c r="AL140" s="141"/>
      <c r="AM140" s="204">
        <v>1</v>
      </c>
      <c r="AN140" s="204">
        <v>1</v>
      </c>
      <c r="AO140" s="204">
        <v>1</v>
      </c>
      <c r="AP140" s="141"/>
      <c r="AQ140" s="144">
        <f t="shared" si="5"/>
        <v>23</v>
      </c>
    </row>
    <row r="141" spans="1:43" s="202" customFormat="1" ht="25.5" x14ac:dyDescent="0.2">
      <c r="A141" s="294"/>
      <c r="B141" s="295"/>
      <c r="C141" s="137" t="s">
        <v>229</v>
      </c>
      <c r="D141" s="132" t="s">
        <v>9</v>
      </c>
      <c r="E141" s="133"/>
      <c r="F141" s="201"/>
      <c r="G141" s="127"/>
      <c r="H141" s="142"/>
      <c r="I141" s="139">
        <v>1</v>
      </c>
      <c r="J141" s="105"/>
      <c r="K141" s="201"/>
      <c r="L141" s="105"/>
      <c r="M141" s="206">
        <v>1</v>
      </c>
      <c r="N141" s="135"/>
      <c r="O141" s="139">
        <v>1</v>
      </c>
      <c r="P141" s="105"/>
      <c r="Q141" s="105"/>
      <c r="R141" s="201"/>
      <c r="S141" s="105"/>
      <c r="T141" s="201"/>
      <c r="U141" s="105"/>
      <c r="V141" s="145"/>
      <c r="W141" s="136"/>
      <c r="X141" s="201"/>
      <c r="Y141" s="145"/>
      <c r="Z141" s="139">
        <v>1</v>
      </c>
      <c r="AA141" s="201"/>
      <c r="AB141" s="139"/>
      <c r="AC141" s="139"/>
      <c r="AD141" s="103">
        <v>1</v>
      </c>
      <c r="AE141" s="139"/>
      <c r="AF141" s="201"/>
      <c r="AG141" s="145"/>
      <c r="AH141" s="139"/>
      <c r="AI141" s="139"/>
      <c r="AJ141" s="139"/>
      <c r="AK141" s="139"/>
      <c r="AL141" s="201"/>
      <c r="AM141" s="139"/>
      <c r="AN141" s="139"/>
      <c r="AO141" s="139"/>
      <c r="AP141" s="201"/>
      <c r="AQ141" s="144">
        <f t="shared" si="5"/>
        <v>5</v>
      </c>
    </row>
    <row r="142" spans="1:43" s="202" customFormat="1" ht="25.5" hidden="1" x14ac:dyDescent="0.2">
      <c r="A142" s="294"/>
      <c r="B142" s="295"/>
      <c r="C142" s="137" t="s">
        <v>230</v>
      </c>
      <c r="D142" s="132" t="s">
        <v>9</v>
      </c>
      <c r="E142" s="133"/>
      <c r="F142" s="201"/>
      <c r="G142" s="127"/>
      <c r="H142" s="142"/>
      <c r="I142" s="105"/>
      <c r="J142" s="105"/>
      <c r="K142" s="201"/>
      <c r="L142" s="105"/>
      <c r="M142" s="143"/>
      <c r="N142" s="135"/>
      <c r="O142" s="139"/>
      <c r="P142" s="105"/>
      <c r="Q142" s="105"/>
      <c r="R142" s="201"/>
      <c r="S142" s="105"/>
      <c r="T142" s="201"/>
      <c r="U142" s="105"/>
      <c r="V142" s="145"/>
      <c r="W142" s="136"/>
      <c r="X142" s="201"/>
      <c r="Y142" s="145"/>
      <c r="Z142" s="139"/>
      <c r="AA142" s="201"/>
      <c r="AB142" s="139"/>
      <c r="AC142" s="139"/>
      <c r="AD142" s="103"/>
      <c r="AE142" s="139"/>
      <c r="AF142" s="201"/>
      <c r="AG142" s="145"/>
      <c r="AH142" s="139"/>
      <c r="AI142" s="139"/>
      <c r="AJ142" s="139"/>
      <c r="AK142" s="139"/>
      <c r="AL142" s="201"/>
      <c r="AM142" s="139"/>
      <c r="AN142" s="139"/>
      <c r="AO142" s="139"/>
      <c r="AP142" s="201"/>
      <c r="AQ142" s="144">
        <f t="shared" ref="AQ142:AQ149" si="6">SUM(E142:AP142)</f>
        <v>0</v>
      </c>
    </row>
    <row r="143" spans="1:43" s="202" customFormat="1" ht="25.5" hidden="1" x14ac:dyDescent="0.2">
      <c r="A143" s="294"/>
      <c r="B143" s="295"/>
      <c r="C143" s="137" t="s">
        <v>231</v>
      </c>
      <c r="D143" s="132" t="s">
        <v>9</v>
      </c>
      <c r="E143" s="133"/>
      <c r="F143" s="201"/>
      <c r="G143" s="127"/>
      <c r="H143" s="142"/>
      <c r="I143" s="105"/>
      <c r="J143" s="105"/>
      <c r="K143" s="201"/>
      <c r="L143" s="105"/>
      <c r="M143" s="143"/>
      <c r="N143" s="135"/>
      <c r="O143" s="139"/>
      <c r="P143" s="105"/>
      <c r="Q143" s="105"/>
      <c r="R143" s="201"/>
      <c r="S143" s="105"/>
      <c r="T143" s="201"/>
      <c r="U143" s="105"/>
      <c r="V143" s="145"/>
      <c r="W143" s="136"/>
      <c r="X143" s="201"/>
      <c r="Y143" s="145"/>
      <c r="Z143" s="139"/>
      <c r="AA143" s="201"/>
      <c r="AB143" s="139"/>
      <c r="AC143" s="139"/>
      <c r="AD143" s="103"/>
      <c r="AE143" s="139"/>
      <c r="AF143" s="201"/>
      <c r="AG143" s="145"/>
      <c r="AH143" s="139"/>
      <c r="AI143" s="139"/>
      <c r="AJ143" s="139"/>
      <c r="AK143" s="139"/>
      <c r="AL143" s="201"/>
      <c r="AM143" s="139"/>
      <c r="AN143" s="139"/>
      <c r="AO143" s="139"/>
      <c r="AP143" s="201"/>
      <c r="AQ143" s="144">
        <f t="shared" si="6"/>
        <v>0</v>
      </c>
    </row>
    <row r="144" spans="1:43" s="202" customFormat="1" ht="25.5" hidden="1" x14ac:dyDescent="0.2">
      <c r="A144" s="294"/>
      <c r="B144" s="295"/>
      <c r="C144" s="137" t="s">
        <v>232</v>
      </c>
      <c r="D144" s="132" t="s">
        <v>9</v>
      </c>
      <c r="E144" s="133"/>
      <c r="F144" s="201"/>
      <c r="G144" s="127"/>
      <c r="H144" s="142"/>
      <c r="I144" s="105"/>
      <c r="J144" s="105"/>
      <c r="K144" s="201"/>
      <c r="L144" s="105"/>
      <c r="M144" s="143"/>
      <c r="N144" s="135"/>
      <c r="O144" s="139"/>
      <c r="P144" s="105"/>
      <c r="Q144" s="105"/>
      <c r="R144" s="201"/>
      <c r="S144" s="105"/>
      <c r="T144" s="201"/>
      <c r="U144" s="105"/>
      <c r="V144" s="145"/>
      <c r="W144" s="136"/>
      <c r="X144" s="201"/>
      <c r="Y144" s="145"/>
      <c r="Z144" s="139"/>
      <c r="AA144" s="201"/>
      <c r="AB144" s="139"/>
      <c r="AC144" s="139"/>
      <c r="AD144" s="103"/>
      <c r="AE144" s="139"/>
      <c r="AF144" s="201"/>
      <c r="AG144" s="145"/>
      <c r="AH144" s="139"/>
      <c r="AI144" s="139"/>
      <c r="AJ144" s="139"/>
      <c r="AK144" s="139"/>
      <c r="AL144" s="201"/>
      <c r="AM144" s="139"/>
      <c r="AN144" s="139"/>
      <c r="AO144" s="139"/>
      <c r="AP144" s="201"/>
      <c r="AQ144" s="144">
        <f t="shared" si="6"/>
        <v>0</v>
      </c>
    </row>
    <row r="145" spans="1:43" s="202" customFormat="1" ht="25.5" hidden="1" x14ac:dyDescent="0.2">
      <c r="A145" s="294"/>
      <c r="B145" s="295"/>
      <c r="C145" s="137" t="s">
        <v>233</v>
      </c>
      <c r="D145" s="132" t="s">
        <v>9</v>
      </c>
      <c r="E145" s="133"/>
      <c r="F145" s="201"/>
      <c r="G145" s="127"/>
      <c r="H145" s="142"/>
      <c r="I145" s="105"/>
      <c r="J145" s="105"/>
      <c r="K145" s="201"/>
      <c r="L145" s="105"/>
      <c r="M145" s="143"/>
      <c r="N145" s="135"/>
      <c r="O145" s="139"/>
      <c r="P145" s="105"/>
      <c r="Q145" s="105"/>
      <c r="R145" s="201"/>
      <c r="S145" s="105"/>
      <c r="T145" s="201"/>
      <c r="U145" s="105"/>
      <c r="V145" s="145"/>
      <c r="W145" s="136"/>
      <c r="X145" s="201"/>
      <c r="Y145" s="145"/>
      <c r="Z145" s="139"/>
      <c r="AA145" s="201"/>
      <c r="AB145" s="139"/>
      <c r="AC145" s="139"/>
      <c r="AD145" s="103"/>
      <c r="AE145" s="139"/>
      <c r="AF145" s="201"/>
      <c r="AG145" s="145"/>
      <c r="AH145" s="139"/>
      <c r="AI145" s="139"/>
      <c r="AJ145" s="139"/>
      <c r="AK145" s="139"/>
      <c r="AL145" s="201"/>
      <c r="AM145" s="139"/>
      <c r="AN145" s="139"/>
      <c r="AO145" s="139"/>
      <c r="AP145" s="201"/>
      <c r="AQ145" s="144">
        <f t="shared" si="6"/>
        <v>0</v>
      </c>
    </row>
    <row r="146" spans="1:43" s="202" customFormat="1" ht="25.5" hidden="1" x14ac:dyDescent="0.2">
      <c r="A146" s="294"/>
      <c r="B146" s="295"/>
      <c r="C146" s="137" t="s">
        <v>234</v>
      </c>
      <c r="D146" s="132" t="s">
        <v>9</v>
      </c>
      <c r="E146" s="133"/>
      <c r="F146" s="201"/>
      <c r="G146" s="127"/>
      <c r="H146" s="142"/>
      <c r="I146" s="105"/>
      <c r="J146" s="105"/>
      <c r="K146" s="201"/>
      <c r="L146" s="105"/>
      <c r="M146" s="143"/>
      <c r="N146" s="135"/>
      <c r="O146" s="139"/>
      <c r="P146" s="105"/>
      <c r="Q146" s="105"/>
      <c r="R146" s="201"/>
      <c r="S146" s="105"/>
      <c r="T146" s="201"/>
      <c r="U146" s="105"/>
      <c r="V146" s="145"/>
      <c r="W146" s="136"/>
      <c r="X146" s="201"/>
      <c r="Y146" s="145"/>
      <c r="Z146" s="139"/>
      <c r="AA146" s="201"/>
      <c r="AB146" s="139"/>
      <c r="AC146" s="139"/>
      <c r="AD146" s="103"/>
      <c r="AE146" s="139"/>
      <c r="AF146" s="201"/>
      <c r="AG146" s="145"/>
      <c r="AH146" s="139"/>
      <c r="AI146" s="139"/>
      <c r="AJ146" s="139"/>
      <c r="AK146" s="139"/>
      <c r="AL146" s="201"/>
      <c r="AM146" s="139"/>
      <c r="AN146" s="139"/>
      <c r="AO146" s="139"/>
      <c r="AP146" s="201"/>
      <c r="AQ146" s="144">
        <f t="shared" si="6"/>
        <v>0</v>
      </c>
    </row>
    <row r="147" spans="1:43" s="202" customFormat="1" ht="38.25" hidden="1" x14ac:dyDescent="0.2">
      <c r="A147" s="294"/>
      <c r="B147" s="295"/>
      <c r="C147" s="137" t="s">
        <v>235</v>
      </c>
      <c r="D147" s="132" t="s">
        <v>9</v>
      </c>
      <c r="E147" s="133"/>
      <c r="F147" s="201"/>
      <c r="G147" s="127"/>
      <c r="H147" s="142"/>
      <c r="I147" s="105"/>
      <c r="J147" s="105"/>
      <c r="K147" s="201"/>
      <c r="L147" s="105"/>
      <c r="M147" s="143"/>
      <c r="N147" s="135"/>
      <c r="O147" s="139"/>
      <c r="P147" s="105"/>
      <c r="Q147" s="105"/>
      <c r="R147" s="201"/>
      <c r="S147" s="105"/>
      <c r="T147" s="201"/>
      <c r="U147" s="105"/>
      <c r="V147" s="145"/>
      <c r="W147" s="136"/>
      <c r="X147" s="201"/>
      <c r="Y147" s="145"/>
      <c r="Z147" s="139"/>
      <c r="AA147" s="201"/>
      <c r="AB147" s="139"/>
      <c r="AC147" s="139"/>
      <c r="AD147" s="103"/>
      <c r="AE147" s="139"/>
      <c r="AF147" s="201"/>
      <c r="AG147" s="145"/>
      <c r="AH147" s="139"/>
      <c r="AI147" s="139"/>
      <c r="AJ147" s="139"/>
      <c r="AK147" s="139"/>
      <c r="AL147" s="201"/>
      <c r="AM147" s="139"/>
      <c r="AN147" s="139"/>
      <c r="AO147" s="139"/>
      <c r="AP147" s="201"/>
      <c r="AQ147" s="144">
        <f t="shared" si="6"/>
        <v>0</v>
      </c>
    </row>
    <row r="148" spans="1:43" s="202" customFormat="1" ht="38.25" x14ac:dyDescent="0.2">
      <c r="A148" s="294"/>
      <c r="B148" s="295"/>
      <c r="C148" s="137" t="s">
        <v>236</v>
      </c>
      <c r="D148" s="132" t="s">
        <v>9</v>
      </c>
      <c r="E148" s="207"/>
      <c r="F148" s="201">
        <v>1</v>
      </c>
      <c r="G148" s="127"/>
      <c r="H148" s="142"/>
      <c r="I148" s="105"/>
      <c r="J148" s="105"/>
      <c r="K148" s="201">
        <v>1</v>
      </c>
      <c r="L148" s="105"/>
      <c r="M148" s="143"/>
      <c r="N148" s="102">
        <v>1</v>
      </c>
      <c r="O148" s="139"/>
      <c r="P148" s="105"/>
      <c r="Q148" s="105"/>
      <c r="R148" s="201">
        <v>1</v>
      </c>
      <c r="S148" s="105"/>
      <c r="T148" s="201">
        <v>1</v>
      </c>
      <c r="U148" s="105"/>
      <c r="V148" s="145"/>
      <c r="W148" s="136"/>
      <c r="X148" s="201">
        <v>1</v>
      </c>
      <c r="Y148" s="145"/>
      <c r="Z148" s="139"/>
      <c r="AA148" s="201">
        <v>1</v>
      </c>
      <c r="AB148" s="139"/>
      <c r="AC148" s="139"/>
      <c r="AD148" s="103"/>
      <c r="AE148" s="139"/>
      <c r="AF148" s="201">
        <v>1</v>
      </c>
      <c r="AG148" s="145"/>
      <c r="AH148" s="139"/>
      <c r="AI148" s="139"/>
      <c r="AJ148" s="139"/>
      <c r="AK148" s="139"/>
      <c r="AL148" s="201">
        <v>1</v>
      </c>
      <c r="AM148" s="139"/>
      <c r="AN148" s="139"/>
      <c r="AO148" s="139"/>
      <c r="AP148" s="201">
        <v>1</v>
      </c>
      <c r="AQ148" s="144">
        <f t="shared" si="6"/>
        <v>10</v>
      </c>
    </row>
    <row r="149" spans="1:43" s="146" customFormat="1" ht="25.5" x14ac:dyDescent="0.2">
      <c r="A149" s="294"/>
      <c r="B149" s="295"/>
      <c r="C149" s="137" t="s">
        <v>237</v>
      </c>
      <c r="D149" s="132" t="s">
        <v>9</v>
      </c>
      <c r="E149" s="133">
        <v>10</v>
      </c>
      <c r="F149" s="201"/>
      <c r="G149" s="127"/>
      <c r="H149" s="142"/>
      <c r="I149" s="105"/>
      <c r="J149" s="105"/>
      <c r="K149" s="201"/>
      <c r="L149" s="105"/>
      <c r="M149" s="143"/>
      <c r="N149" s="135"/>
      <c r="O149" s="139"/>
      <c r="P149" s="105"/>
      <c r="Q149" s="105"/>
      <c r="R149" s="201"/>
      <c r="S149" s="105"/>
      <c r="T149" s="201"/>
      <c r="U149" s="105"/>
      <c r="V149" s="145"/>
      <c r="W149" s="136"/>
      <c r="X149" s="201"/>
      <c r="Y149" s="145"/>
      <c r="Z149" s="139"/>
      <c r="AA149" s="201"/>
      <c r="AB149" s="139"/>
      <c r="AC149" s="139"/>
      <c r="AD149" s="145"/>
      <c r="AE149" s="139"/>
      <c r="AF149" s="201"/>
      <c r="AG149" s="145"/>
      <c r="AH149" s="139"/>
      <c r="AI149" s="139"/>
      <c r="AJ149" s="139"/>
      <c r="AK149" s="139"/>
      <c r="AL149" s="201"/>
      <c r="AM149" s="139"/>
      <c r="AN149" s="139"/>
      <c r="AO149" s="139"/>
      <c r="AP149" s="201"/>
      <c r="AQ149" s="144">
        <f t="shared" si="6"/>
        <v>10</v>
      </c>
    </row>
    <row r="150" spans="1:43" s="146" customFormat="1" ht="25.5" hidden="1" x14ac:dyDescent="0.2">
      <c r="A150" s="294"/>
      <c r="B150" s="295"/>
      <c r="C150" s="137" t="s">
        <v>238</v>
      </c>
      <c r="D150" s="132" t="s">
        <v>9</v>
      </c>
      <c r="E150" s="133"/>
      <c r="F150" s="201"/>
      <c r="G150" s="127"/>
      <c r="H150" s="142"/>
      <c r="I150" s="105"/>
      <c r="J150" s="105"/>
      <c r="K150" s="201"/>
      <c r="L150" s="105"/>
      <c r="M150" s="143"/>
      <c r="N150" s="135"/>
      <c r="O150" s="139"/>
      <c r="P150" s="105"/>
      <c r="Q150" s="105"/>
      <c r="R150" s="201"/>
      <c r="S150" s="105"/>
      <c r="T150" s="201"/>
      <c r="U150" s="105"/>
      <c r="V150" s="145"/>
      <c r="W150" s="136"/>
      <c r="X150" s="201"/>
      <c r="Y150" s="145"/>
      <c r="Z150" s="139"/>
      <c r="AA150" s="201"/>
      <c r="AB150" s="139"/>
      <c r="AC150" s="139"/>
      <c r="AD150" s="145"/>
      <c r="AE150" s="139"/>
      <c r="AF150" s="201"/>
      <c r="AG150" s="145"/>
      <c r="AH150" s="139"/>
      <c r="AI150" s="139"/>
      <c r="AJ150" s="139"/>
      <c r="AK150" s="139"/>
      <c r="AL150" s="201"/>
      <c r="AM150" s="139"/>
      <c r="AN150" s="139"/>
      <c r="AO150" s="139"/>
      <c r="AP150" s="201"/>
      <c r="AQ150" s="144">
        <f>SUM(E150:AP150)</f>
        <v>0</v>
      </c>
    </row>
    <row r="151" spans="1:43" s="205" customFormat="1" ht="63.75" hidden="1" x14ac:dyDescent="0.25">
      <c r="A151" s="304"/>
      <c r="B151" s="305"/>
      <c r="C151" s="178" t="s">
        <v>239</v>
      </c>
      <c r="D151" s="179" t="s">
        <v>9</v>
      </c>
      <c r="E151" s="125"/>
      <c r="F151" s="141"/>
      <c r="G151" s="127"/>
      <c r="H151" s="145"/>
      <c r="I151" s="208"/>
      <c r="J151" s="208"/>
      <c r="K151" s="141"/>
      <c r="L151" s="208"/>
      <c r="M151" s="209"/>
      <c r="N151" s="135"/>
      <c r="O151" s="204"/>
      <c r="P151" s="208"/>
      <c r="Q151" s="208"/>
      <c r="R151" s="141"/>
      <c r="S151" s="208"/>
      <c r="T151" s="141"/>
      <c r="U151" s="208"/>
      <c r="V151" s="145"/>
      <c r="W151" s="210"/>
      <c r="X151" s="141"/>
      <c r="Y151" s="145"/>
      <c r="Z151" s="204"/>
      <c r="AA151" s="141"/>
      <c r="AB151" s="204"/>
      <c r="AC151" s="204"/>
      <c r="AD151" s="145"/>
      <c r="AE151" s="204"/>
      <c r="AF151" s="141"/>
      <c r="AG151" s="145"/>
      <c r="AH151" s="204"/>
      <c r="AI151" s="204"/>
      <c r="AJ151" s="204"/>
      <c r="AK151" s="204"/>
      <c r="AL151" s="141"/>
      <c r="AM151" s="204"/>
      <c r="AN151" s="204"/>
      <c r="AO151" s="204"/>
      <c r="AP151" s="141"/>
      <c r="AQ151" s="144">
        <f>SUM(E151:AP151)</f>
        <v>0</v>
      </c>
    </row>
    <row r="152" spans="1:43" s="202" customFormat="1" ht="25.5" hidden="1" customHeight="1" x14ac:dyDescent="0.2">
      <c r="A152" s="294"/>
      <c r="B152" s="295"/>
      <c r="C152" s="137" t="s">
        <v>237</v>
      </c>
      <c r="D152" s="211" t="s">
        <v>9</v>
      </c>
      <c r="E152" s="133"/>
      <c r="F152" s="201"/>
      <c r="G152" s="127"/>
      <c r="H152" s="212"/>
      <c r="I152" s="213"/>
      <c r="J152" s="213"/>
      <c r="K152" s="201"/>
      <c r="L152" s="213"/>
      <c r="M152" s="143"/>
      <c r="N152" s="214"/>
      <c r="O152" s="139"/>
      <c r="P152" s="213"/>
      <c r="Q152" s="213"/>
      <c r="R152" s="201"/>
      <c r="S152" s="213"/>
      <c r="T152" s="201"/>
      <c r="U152" s="213"/>
      <c r="V152" s="95"/>
      <c r="W152" s="215"/>
      <c r="X152" s="201"/>
      <c r="Y152" s="95"/>
      <c r="Z152" s="139"/>
      <c r="AA152" s="201"/>
      <c r="AB152" s="139"/>
      <c r="AC152" s="139"/>
      <c r="AD152" s="145"/>
      <c r="AE152" s="139"/>
      <c r="AF152" s="201"/>
      <c r="AG152" s="95"/>
      <c r="AH152" s="139"/>
      <c r="AI152" s="139"/>
      <c r="AJ152" s="139"/>
      <c r="AK152" s="139"/>
      <c r="AL152" s="201"/>
      <c r="AM152" s="139"/>
      <c r="AN152" s="139"/>
      <c r="AO152" s="139"/>
      <c r="AP152" s="201"/>
      <c r="AQ152" s="146">
        <f>SUM(E152:AP152)</f>
        <v>0</v>
      </c>
    </row>
    <row r="153" spans="1:43" x14ac:dyDescent="0.2">
      <c r="AE153" s="49"/>
    </row>
    <row r="154" spans="1:43" x14ac:dyDescent="0.2">
      <c r="AE154" s="49"/>
    </row>
    <row r="155" spans="1:43" x14ac:dyDescent="0.2">
      <c r="AE155" s="49"/>
    </row>
    <row r="156" spans="1:43" x14ac:dyDescent="0.2">
      <c r="AE156" s="49"/>
    </row>
    <row r="157" spans="1:43" x14ac:dyDescent="0.2">
      <c r="AE157" s="49"/>
    </row>
    <row r="158" spans="1:43" x14ac:dyDescent="0.2">
      <c r="AE158" s="49"/>
    </row>
    <row r="159" spans="1:43" x14ac:dyDescent="0.2">
      <c r="AE159" s="49"/>
    </row>
    <row r="165" spans="7:8" x14ac:dyDescent="0.2">
      <c r="G165" s="217"/>
      <c r="H165" s="51"/>
    </row>
    <row r="166" spans="7:8" x14ac:dyDescent="0.2">
      <c r="G166" s="217"/>
      <c r="H166" s="51"/>
    </row>
    <row r="167" spans="7:8" x14ac:dyDescent="0.2">
      <c r="G167" s="217"/>
      <c r="H167" s="51"/>
    </row>
    <row r="168" spans="7:8" x14ac:dyDescent="0.2">
      <c r="G168" s="217"/>
      <c r="H168" s="51"/>
    </row>
    <row r="169" spans="7:8" x14ac:dyDescent="0.2">
      <c r="G169" s="217"/>
      <c r="H169" s="51"/>
    </row>
    <row r="170" spans="7:8" x14ac:dyDescent="0.2">
      <c r="G170" s="217"/>
      <c r="H170" s="51"/>
    </row>
    <row r="171" spans="7:8" x14ac:dyDescent="0.2">
      <c r="G171" s="217"/>
      <c r="H171" s="51"/>
    </row>
    <row r="172" spans="7:8" x14ac:dyDescent="0.2">
      <c r="G172" s="217"/>
      <c r="H172" s="51"/>
    </row>
  </sheetData>
  <protectedRanges>
    <protectedRange sqref="C8:F8 E7:F7 E9:F9 K7:K9" name="Rango1"/>
    <protectedRange sqref="C7:D7" name="Rango1_1"/>
    <protectedRange sqref="C9:D9" name="Rango1_2"/>
  </protectedRanges>
  <mergeCells count="248">
    <mergeCell ref="A149:B149"/>
    <mergeCell ref="A150:B150"/>
    <mergeCell ref="A151:B151"/>
    <mergeCell ref="A152:B152"/>
    <mergeCell ref="A143:B143"/>
    <mergeCell ref="A144:B144"/>
    <mergeCell ref="A145:B145"/>
    <mergeCell ref="A146:B146"/>
    <mergeCell ref="A147:B147"/>
    <mergeCell ref="A148:B148"/>
    <mergeCell ref="A137:B137"/>
    <mergeCell ref="A138:B138"/>
    <mergeCell ref="A139:B139"/>
    <mergeCell ref="A140:B140"/>
    <mergeCell ref="A141:B141"/>
    <mergeCell ref="A142:B142"/>
    <mergeCell ref="A131:B131"/>
    <mergeCell ref="A132:B132"/>
    <mergeCell ref="A133:B133"/>
    <mergeCell ref="A134:B134"/>
    <mergeCell ref="A135:B135"/>
    <mergeCell ref="A136:B136"/>
    <mergeCell ref="A125:B125"/>
    <mergeCell ref="A126:B126"/>
    <mergeCell ref="A127:B127"/>
    <mergeCell ref="A128:B128"/>
    <mergeCell ref="A129:B129"/>
    <mergeCell ref="A130:B130"/>
    <mergeCell ref="A119:B119"/>
    <mergeCell ref="A120:B120"/>
    <mergeCell ref="A121:B121"/>
    <mergeCell ref="A122:B122"/>
    <mergeCell ref="A123:B123"/>
    <mergeCell ref="A124:B124"/>
    <mergeCell ref="A113:B113"/>
    <mergeCell ref="A114:B114"/>
    <mergeCell ref="A115:B115"/>
    <mergeCell ref="A116:B116"/>
    <mergeCell ref="A117:B117"/>
    <mergeCell ref="A118:B118"/>
    <mergeCell ref="A107:B107"/>
    <mergeCell ref="A108:B108"/>
    <mergeCell ref="A109:B109"/>
    <mergeCell ref="A110:B110"/>
    <mergeCell ref="A111:B111"/>
    <mergeCell ref="A112:B112"/>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3:B53"/>
    <mergeCell ref="A54:B54"/>
    <mergeCell ref="A55:B55"/>
    <mergeCell ref="A56:B56"/>
    <mergeCell ref="A57:B57"/>
    <mergeCell ref="A58:B58"/>
    <mergeCell ref="A47:B47"/>
    <mergeCell ref="A48:B48"/>
    <mergeCell ref="A49:B49"/>
    <mergeCell ref="A50:B50"/>
    <mergeCell ref="A51:B51"/>
    <mergeCell ref="A52:B52"/>
    <mergeCell ref="A41:B41"/>
    <mergeCell ref="A42:B42"/>
    <mergeCell ref="A43:B43"/>
    <mergeCell ref="A44:B44"/>
    <mergeCell ref="A45:B45"/>
    <mergeCell ref="A46:B46"/>
    <mergeCell ref="A31:B31"/>
    <mergeCell ref="A32:B32"/>
    <mergeCell ref="A33:B37"/>
    <mergeCell ref="A38:B38"/>
    <mergeCell ref="A39:B39"/>
    <mergeCell ref="A40:B40"/>
    <mergeCell ref="A24:B24"/>
    <mergeCell ref="A26:B26"/>
    <mergeCell ref="A27:B27"/>
    <mergeCell ref="A28:B28"/>
    <mergeCell ref="A29:B29"/>
    <mergeCell ref="A30:B30"/>
    <mergeCell ref="AN20:AN21"/>
    <mergeCell ref="AO20:AO21"/>
    <mergeCell ref="AP20:AP21"/>
    <mergeCell ref="A21:B21"/>
    <mergeCell ref="A22:B22"/>
    <mergeCell ref="A23:B23"/>
    <mergeCell ref="AH20:AH21"/>
    <mergeCell ref="AI20:AI21"/>
    <mergeCell ref="AJ20:AJ21"/>
    <mergeCell ref="AK20:AK21"/>
    <mergeCell ref="AL20:AL21"/>
    <mergeCell ref="AM20:AM21"/>
    <mergeCell ref="AB20:AB21"/>
    <mergeCell ref="AC20:AC21"/>
    <mergeCell ref="AD20:AD21"/>
    <mergeCell ref="AE20:AE21"/>
    <mergeCell ref="AF20:AF21"/>
    <mergeCell ref="AG20:AG21"/>
    <mergeCell ref="V20:V21"/>
    <mergeCell ref="W20:W21"/>
    <mergeCell ref="X20:X21"/>
    <mergeCell ref="Y20:Y21"/>
    <mergeCell ref="Z20:Z21"/>
    <mergeCell ref="AA20:AA21"/>
    <mergeCell ref="P20:P21"/>
    <mergeCell ref="Q20:Q21"/>
    <mergeCell ref="R20:R21"/>
    <mergeCell ref="S20:S21"/>
    <mergeCell ref="T20:T21"/>
    <mergeCell ref="U20:U21"/>
    <mergeCell ref="J20:J21"/>
    <mergeCell ref="K20:K21"/>
    <mergeCell ref="L20:L21"/>
    <mergeCell ref="M20:M21"/>
    <mergeCell ref="N20:N21"/>
    <mergeCell ref="O20:O21"/>
    <mergeCell ref="A20:B20"/>
    <mergeCell ref="C20:C21"/>
    <mergeCell ref="F20:F21"/>
    <mergeCell ref="G20:G21"/>
    <mergeCell ref="H20:H21"/>
    <mergeCell ref="I20:I21"/>
    <mergeCell ref="AL18:AL19"/>
    <mergeCell ref="AM18:AM19"/>
    <mergeCell ref="AN18:AN19"/>
    <mergeCell ref="AO18:AO19"/>
    <mergeCell ref="AP18:AP19"/>
    <mergeCell ref="A19:B19"/>
    <mergeCell ref="AF18:AF19"/>
    <mergeCell ref="AG18:AG19"/>
    <mergeCell ref="AH18:AH19"/>
    <mergeCell ref="AI18:AI19"/>
    <mergeCell ref="AJ18:AJ19"/>
    <mergeCell ref="AK18:AK19"/>
    <mergeCell ref="Z18:Z19"/>
    <mergeCell ref="AA18:AA19"/>
    <mergeCell ref="AB18:AB19"/>
    <mergeCell ref="AC18:AC19"/>
    <mergeCell ref="AD18:AD19"/>
    <mergeCell ref="AE18:AE19"/>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AM16:AM17"/>
    <mergeCell ref="AN16:AN17"/>
    <mergeCell ref="AO16:AO17"/>
    <mergeCell ref="AP16:AP17"/>
    <mergeCell ref="A17:B17"/>
    <mergeCell ref="E17:E18"/>
    <mergeCell ref="A18:B18"/>
    <mergeCell ref="C18:C19"/>
    <mergeCell ref="F18:F19"/>
    <mergeCell ref="G18:G19"/>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V16:V17"/>
    <mergeCell ref="W16:W17"/>
    <mergeCell ref="X16:X17"/>
    <mergeCell ref="Y16:Y17"/>
    <mergeCell ref="Z16:Z17"/>
    <mergeCell ref="O16:O17"/>
    <mergeCell ref="P16:P17"/>
    <mergeCell ref="Q16:Q17"/>
    <mergeCell ref="R16:R17"/>
    <mergeCell ref="S16:S17"/>
    <mergeCell ref="T16:T17"/>
    <mergeCell ref="I16:I17"/>
    <mergeCell ref="J16:J17"/>
    <mergeCell ref="K16:K17"/>
    <mergeCell ref="L16:L17"/>
    <mergeCell ref="M16:M17"/>
    <mergeCell ref="N16:N17"/>
    <mergeCell ref="A15:B15"/>
    <mergeCell ref="A16:B16"/>
    <mergeCell ref="C16:C17"/>
    <mergeCell ref="F16:F17"/>
    <mergeCell ref="G16:G17"/>
    <mergeCell ref="H16:H1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D5"/>
  <sheetViews>
    <sheetView workbookViewId="0">
      <selection activeCell="B5" sqref="B5"/>
    </sheetView>
  </sheetViews>
  <sheetFormatPr baseColWidth="10" defaultRowHeight="15" x14ac:dyDescent="0.25"/>
  <sheetData>
    <row r="2" spans="3:4" x14ac:dyDescent="0.25">
      <c r="C2" t="s">
        <v>246</v>
      </c>
    </row>
    <row r="5" spans="3:4" x14ac:dyDescent="0.25">
      <c r="C5">
        <v>360</v>
      </c>
      <c r="D5" t="s">
        <v>247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36" sqref="K36"/>
    </sheetView>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43" sqref="G43"/>
    </sheetView>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29"/>
  <sheetViews>
    <sheetView topLeftCell="A19" workbookViewId="0">
      <selection activeCell="B30" sqref="B30"/>
    </sheetView>
  </sheetViews>
  <sheetFormatPr baseColWidth="10" defaultRowHeight="15" x14ac:dyDescent="0.25"/>
  <cols>
    <col min="2" max="2" width="81.140625" customWidth="1"/>
  </cols>
  <sheetData>
    <row r="3" spans="2:4" ht="105" x14ac:dyDescent="0.25">
      <c r="B3" s="2" t="s">
        <v>79</v>
      </c>
      <c r="C3" s="1" t="s">
        <v>3</v>
      </c>
      <c r="D3" s="1" t="s">
        <v>77</v>
      </c>
    </row>
    <row r="4" spans="2:4" x14ac:dyDescent="0.25">
      <c r="B4" s="4" t="s">
        <v>248</v>
      </c>
      <c r="C4" s="5" t="s">
        <v>249</v>
      </c>
      <c r="D4" s="5">
        <f>12.5</f>
        <v>12.5</v>
      </c>
    </row>
    <row r="5" spans="2:4" ht="30" x14ac:dyDescent="0.25">
      <c r="B5" s="4" t="s">
        <v>250</v>
      </c>
      <c r="C5" s="5" t="s">
        <v>9</v>
      </c>
      <c r="D5" s="5">
        <f>4</f>
        <v>4</v>
      </c>
    </row>
    <row r="6" spans="2:4" x14ac:dyDescent="0.25">
      <c r="B6" s="4" t="s">
        <v>255</v>
      </c>
      <c r="C6" s="5" t="s">
        <v>10</v>
      </c>
      <c r="D6" s="5">
        <v>1</v>
      </c>
    </row>
    <row r="7" spans="2:4" ht="30" x14ac:dyDescent="0.25">
      <c r="B7" s="221" t="s">
        <v>251</v>
      </c>
      <c r="C7" s="3" t="s">
        <v>240</v>
      </c>
      <c r="D7" s="3">
        <f>(1/30)*2</f>
        <v>6.6666666666666666E-2</v>
      </c>
    </row>
    <row r="8" spans="2:4" x14ac:dyDescent="0.25">
      <c r="B8" s="221" t="s">
        <v>253</v>
      </c>
      <c r="C8" s="3" t="s">
        <v>240</v>
      </c>
      <c r="D8" s="3">
        <v>2</v>
      </c>
    </row>
    <row r="9" spans="2:4" ht="30" x14ac:dyDescent="0.25">
      <c r="B9" s="221" t="s">
        <v>252</v>
      </c>
      <c r="C9" s="3" t="s">
        <v>240</v>
      </c>
      <c r="D9" s="3">
        <f>(1/30)*2</f>
        <v>6.6666666666666666E-2</v>
      </c>
    </row>
    <row r="10" spans="2:4" x14ac:dyDescent="0.25">
      <c r="B10" s="221" t="s">
        <v>254</v>
      </c>
      <c r="C10" s="3" t="s">
        <v>240</v>
      </c>
      <c r="D10" s="3">
        <v>2</v>
      </c>
    </row>
    <row r="11" spans="2:4" ht="30" x14ac:dyDescent="0.25">
      <c r="B11" s="221" t="s">
        <v>256</v>
      </c>
      <c r="C11" s="3" t="s">
        <v>240</v>
      </c>
      <c r="D11" s="3">
        <f>(1/3)*2</f>
        <v>0.66666666666666663</v>
      </c>
    </row>
    <row r="12" spans="2:4" ht="30" x14ac:dyDescent="0.25">
      <c r="B12" s="221" t="s">
        <v>257</v>
      </c>
      <c r="C12" s="3" t="s">
        <v>240</v>
      </c>
      <c r="D12" s="3">
        <v>2</v>
      </c>
    </row>
    <row r="13" spans="2:4" x14ac:dyDescent="0.25">
      <c r="B13" s="221" t="s">
        <v>243</v>
      </c>
      <c r="C13" s="3" t="s">
        <v>133</v>
      </c>
      <c r="D13" s="3">
        <v>1</v>
      </c>
    </row>
    <row r="14" spans="2:4" ht="75" x14ac:dyDescent="0.25">
      <c r="B14" s="2" t="s">
        <v>80</v>
      </c>
      <c r="C14" s="1" t="s">
        <v>3</v>
      </c>
      <c r="D14" s="1" t="s">
        <v>78</v>
      </c>
    </row>
    <row r="15" spans="2:4" x14ac:dyDescent="0.25">
      <c r="B15" s="4" t="s">
        <v>258</v>
      </c>
      <c r="C15" s="5" t="s">
        <v>13</v>
      </c>
      <c r="D15" s="5">
        <f>5</f>
        <v>5</v>
      </c>
    </row>
    <row r="16" spans="2:4" x14ac:dyDescent="0.25">
      <c r="B16" s="4" t="s">
        <v>259</v>
      </c>
      <c r="C16" s="5" t="s">
        <v>9</v>
      </c>
      <c r="D16" s="5">
        <v>2</v>
      </c>
    </row>
    <row r="17" spans="2:4" ht="30" x14ac:dyDescent="0.25">
      <c r="B17" s="4" t="s">
        <v>260</v>
      </c>
      <c r="C17" s="5" t="s">
        <v>9</v>
      </c>
      <c r="D17" s="5">
        <f>1/30</f>
        <v>3.3333333333333333E-2</v>
      </c>
    </row>
    <row r="18" spans="2:4" x14ac:dyDescent="0.25">
      <c r="B18" s="4" t="s">
        <v>261</v>
      </c>
      <c r="C18" s="5" t="s">
        <v>9</v>
      </c>
      <c r="D18" s="5">
        <v>2</v>
      </c>
    </row>
    <row r="19" spans="2:4" x14ac:dyDescent="0.25">
      <c r="B19" s="4" t="s">
        <v>262</v>
      </c>
      <c r="C19" s="5" t="s">
        <v>9</v>
      </c>
      <c r="D19" s="5">
        <v>3</v>
      </c>
    </row>
    <row r="20" spans="2:4" x14ac:dyDescent="0.25">
      <c r="B20" s="4" t="s">
        <v>263</v>
      </c>
      <c r="C20" s="5" t="s">
        <v>9</v>
      </c>
      <c r="D20" s="5">
        <v>6</v>
      </c>
    </row>
    <row r="21" spans="2:4" x14ac:dyDescent="0.25">
      <c r="B21" s="4" t="s">
        <v>243</v>
      </c>
      <c r="C21" s="5" t="s">
        <v>133</v>
      </c>
      <c r="D21" s="5">
        <v>1</v>
      </c>
    </row>
    <row r="22" spans="2:4" ht="75" x14ac:dyDescent="0.25">
      <c r="B22" s="2" t="s">
        <v>81</v>
      </c>
      <c r="C22" s="1" t="s">
        <v>3</v>
      </c>
      <c r="D22" s="1" t="s">
        <v>11</v>
      </c>
    </row>
    <row r="23" spans="2:4" x14ac:dyDescent="0.25">
      <c r="B23" s="4" t="s">
        <v>258</v>
      </c>
      <c r="C23" s="5" t="s">
        <v>13</v>
      </c>
      <c r="D23" s="5">
        <v>6</v>
      </c>
    </row>
    <row r="24" spans="2:4" x14ac:dyDescent="0.25">
      <c r="B24" s="4" t="s">
        <v>264</v>
      </c>
      <c r="C24" s="5" t="s">
        <v>9</v>
      </c>
      <c r="D24" s="5">
        <v>2</v>
      </c>
    </row>
    <row r="25" spans="2:4" ht="30" x14ac:dyDescent="0.25">
      <c r="B25" s="4" t="s">
        <v>260</v>
      </c>
      <c r="C25" s="5" t="s">
        <v>9</v>
      </c>
      <c r="D25" s="5">
        <f>1/30</f>
        <v>3.3333333333333333E-2</v>
      </c>
    </row>
    <row r="26" spans="2:4" x14ac:dyDescent="0.25">
      <c r="B26" s="4" t="s">
        <v>261</v>
      </c>
      <c r="C26" s="5" t="s">
        <v>9</v>
      </c>
      <c r="D26" s="5">
        <v>4</v>
      </c>
    </row>
    <row r="27" spans="2:4" x14ac:dyDescent="0.25">
      <c r="B27" s="4" t="s">
        <v>263</v>
      </c>
      <c r="C27" s="5" t="s">
        <v>9</v>
      </c>
      <c r="D27" s="5">
        <v>6</v>
      </c>
    </row>
    <row r="28" spans="2:4" x14ac:dyDescent="0.25">
      <c r="B28" s="4" t="s">
        <v>243</v>
      </c>
      <c r="C28" s="5" t="s">
        <v>133</v>
      </c>
      <c r="D28" s="5">
        <v>1</v>
      </c>
    </row>
    <row r="29" spans="2:4" ht="60" x14ac:dyDescent="0.25">
      <c r="B29" s="2" t="s">
        <v>82</v>
      </c>
      <c r="C29" s="1" t="s">
        <v>3</v>
      </c>
      <c r="D29" s="1" t="s">
        <v>11</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CATALOGO P. SOLAR</vt:lpstr>
      <vt:lpstr>BANCO DE DUCTOS BT-MT</vt:lpstr>
      <vt:lpstr>REGISTROS </vt:lpstr>
      <vt:lpstr>EMPALME EN MT </vt:lpstr>
      <vt:lpstr>MOD. FOTOVOLTAICOS </vt:lpstr>
      <vt:lpstr>TAB. DE NIVEL 1 </vt:lpstr>
      <vt:lpstr>MOTORES Y ALIMENTACION TAB N1</vt:lpstr>
      <vt:lpstr>PUESTA A TIERRA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 Homar Gordillo De la Cruz</dc:creator>
  <cp:lastModifiedBy>Usuario</cp:lastModifiedBy>
  <cp:lastPrinted>2020-09-17T13:39:21Z</cp:lastPrinted>
  <dcterms:created xsi:type="dcterms:W3CDTF">2017-06-28T13:10:02Z</dcterms:created>
  <dcterms:modified xsi:type="dcterms:W3CDTF">2020-09-17T13:39:34Z</dcterms:modified>
</cp:coreProperties>
</file>